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state="hidden" r:id="rId4"/>
    <sheet name="Дифференциация" sheetId="4" state="hidden"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ТС. Т-подкл(инд)" sheetId="21" state="hidden" r:id="rId22"/>
    <sheet name="ХВС. Т-пит" sheetId="22" state="hidden" r:id="rId23"/>
    <sheet name="ХВС. Т-тех" sheetId="23" state="hidden" r:id="rId24"/>
    <sheet name="ХВС. Т-транс" sheetId="24" state="hidden" r:id="rId25"/>
    <sheet name="ХВС. Т-подвоз"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Детализация'!$A$74:$A$74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ИП!$I$11:$I$15</definedName>
    <definedName name="IP_MAIN_CHANGE_DATE">ИП!$J$11:$J$15</definedName>
    <definedName name="IP_MAIN_CLAIM">ИП!$K$11:$K$15</definedName>
    <definedName name="IP_MAIN_DATE_PARKING">ИП!$L$5</definedName>
    <definedName name="IP_MAIN_DELETE_HL_COLUMN_MARKER">ИП!$E$7</definedName>
    <definedName name="IP_MAIN_DIFFERENTIATION_EVENTS_FLAG">ИП!$H$11:$H$15</definedName>
    <definedName name="IP_MAIN_END_DATE">ИП!$O$11:$O$15</definedName>
    <definedName name="IP_MAIN_FLAG_KS">ИП!$Y$11:$Y$15</definedName>
    <definedName name="IP_MAIN_FLAG_KS_COLUMN_MARKER">ИП!$Y$7</definedName>
    <definedName name="IP_MAIN_IP_FIN_PLAN_VISIBLE_FLAG">ИП!$H$17</definedName>
    <definedName name="IP_MAIN_LIST_IP_ID">ИП!$AD$11:$AD$15</definedName>
    <definedName name="IP_MAIN_LIST_NAME_IP">ИП!$G$11:$G$15</definedName>
    <definedName name="IP_MAIN_PERIOD_REALIZ_DATE">ИП!$P$11:$P$15</definedName>
    <definedName name="IP_MAIN_PR_IP_CHANGE_DATE">ИП!$X$11:$X$15</definedName>
    <definedName name="IP_MAIN_PR_IP_DATE">ИП!$T$11:$T$15</definedName>
    <definedName name="IP_MAIN_PR_IP_NAME">ИП!$Q$11:$Q$15</definedName>
    <definedName name="IP_MAIN_PR_IP_NUMBER">ИП!$S$11:$S$15</definedName>
    <definedName name="IP_MAIN_PR_IP_TYPE">ИП!$R$11:$R$15</definedName>
    <definedName name="IP_MAIN_START_DATE">ИП!$N$11:$N$15</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ИП!$E$11:$E$15</definedName>
    <definedName name="pDel_IP_MAIN_PROPERTY">ИП!$Z$11:$Z$15</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Детализация'!$F$74</definedName>
    <definedName name="pIns_IP_FIN_PLAN">'ИП. Финансовый план'!$P$8</definedName>
    <definedName name="pIns_IP_MAIN">ИП!$G$15</definedName>
    <definedName name="pIns_IP_QRE">'ИП. КНЭ'!$F$24</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Детализация'!$AH$74</definedName>
    <definedName name="tblEnd_1_IP_FIN_PLAN">'ИП. Финансовый план'!$P$58</definedName>
    <definedName name="tblEnd_1_IP_MAIN">ИП!$AB$16</definedName>
    <definedName name="tblEnd_1_IP_QRE">'ИП. КНЭ'!$FX$24</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 name="et_B_FHD20_1">et_union_hor!$115:$123</definedName>
    <definedName name="IP_MAIN_ip_5">ИП!$13:$14</definedName>
    <definedName name="IP_QRE_ip_5">'ИП. КНЭ'!$21:$23</definedName>
    <definedName name="IP_DETAILED_ip_5">'ИП. Детализация'!$14:$73</definedName>
    <definedName name="IP_FIN_PLAN_ip_5">'ИП. Финансовый план'!$K$11:$O$11</definedName>
    <definedName name="REESTR_INFR_RANGE">REESTR_OBJ_INFR!$A$2:$AK$15</definedName>
    <definedName name="VD_LIST">REESTR_VED!$A$2:$B$8</definedName>
    <definedName name="VD_ID_LIST">REESTR_VED!$A$2:$A$8</definedName>
    <definedName name="VD_NAME_LIST">REESTR_VED!$B$2:$B$8</definedName>
    <definedName name="REESTR_IP_RANGE">REESTR_IP!$A$2:$I$2</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<sst xmlns="http://schemas.openxmlformats.org/spreadsheetml/2006/main" count="14232" uniqueCount="4422">
  <si>
    <t xml:space="preserve"> (требуется обновление)</t>
  </si>
  <si>
    <t>Код отчёта: PP108.OPEN.INFO.INVEST.COLDVSNA.EIAS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</si>
  <si>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</si>
  <si>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</si>
  <si>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</si>
  <si>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</si>
  <si>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</si>
  <si>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</si>
  <si>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</si>
  <si>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</si>
  <si>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</si>
  <si>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</si>
  <si>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</si>
  <si>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26374988</t>
  </si>
  <si>
    <t>Flag_Row_Size</t>
  </si>
  <si>
    <t>Субъект РФ</t>
  </si>
  <si>
    <t>Сахалинская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</si>
  <si>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</si>
  <si>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</si>
  <si>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</si>
  <si>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</si>
  <si>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</si>
  <si>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</si>
  <si>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</si>
  <si>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</si>
  <si>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</si>
  <si>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</si>
  <si>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</si>
  <si>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</si>
  <si>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</si>
  <si>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</si>
  <si>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</si>
  <si>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</si>
  <si>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</si>
  <si>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</si>
  <si>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</si>
  <si>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</si>
  <si>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</si>
  <si>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</si>
  <si>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</si>
  <si>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</si>
  <si>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</si>
  <si>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</si>
  <si>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</si>
  <si>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</si>
  <si>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</si>
  <si>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Муниципальное унитарное предприятие "Невельские коммунальные сети"</t>
  </si>
  <si>
    <t>Наименование (описание) обособленного подразделения</t>
  </si>
  <si>
    <t>ИНН</t>
  </si>
  <si>
    <t>6505011534</t>
  </si>
  <si>
    <t>КПП</t>
  </si>
  <si>
    <t>650501001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</si>
  <si>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</si>
  <si>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</si>
  <si>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</si>
  <si>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</si>
  <si>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</si>
  <si>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</si>
  <si>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</si>
  <si>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</si>
  <si>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</si>
  <si>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</si>
  <si>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</si>
  <si>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</si>
  <si>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</si>
  <si>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</si>
  <si>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</si>
  <si>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по мероприятиям</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</si>
  <si>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</si>
  <si>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</si>
  <si>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694740, Сахалинская область, г. Невельск, ул. Советская, 36</t>
  </si>
  <si>
    <t>Фамилия, имя, отчество руководителя</t>
  </si>
  <si>
    <t>Кан Денис Леонидович</t>
  </si>
  <si>
    <t>Ответственный за заполнение формы</t>
  </si>
  <si>
    <t>Фамилия, имя, отчество</t>
  </si>
  <si>
    <t>Синкевич Светлана Вячеславовна</t>
  </si>
  <si>
    <t>Должность</t>
  </si>
  <si>
    <t>начальник ПТО</t>
  </si>
  <si>
    <t>Контактный телефон</t>
  </si>
  <si>
    <t>(42436)61-979</t>
  </si>
  <si>
    <t>E-mail</t>
  </si>
  <si>
    <t>nevcomsets@mail.ru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</si>
  <si>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</si>
  <si>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</si>
  <si>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</si>
  <si>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</si>
  <si>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</si>
  <si>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</si>
  <si>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</si>
  <si>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</si>
  <si>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</si>
  <si>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</si>
  <si>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</si>
  <si>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</si>
  <si>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</si>
  <si>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</si>
  <si>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</si>
  <si>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</si>
  <si>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</si>
  <si>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</si>
  <si>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</si>
  <si>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</si>
  <si>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</si>
  <si>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</si>
  <si>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</si>
  <si>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</si>
  <si>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</si>
  <si>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</si>
  <si>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</si>
  <si>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</si>
  <si>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</si>
  <si>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</si>
  <si>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</si>
  <si>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</si>
  <si>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</si>
  <si>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</si>
  <si>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</si>
  <si>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</si>
  <si>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</si>
  <si>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</si>
  <si>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</si>
  <si>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</si>
  <si>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</si>
  <si>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</si>
  <si>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</si>
  <si>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</si>
  <si>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</si>
  <si>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</si>
  <si>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</si>
  <si>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</si>
  <si>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</si>
  <si>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</si>
  <si>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</si>
  <si>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</si>
  <si>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</si>
  <si>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</si>
  <si>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</si>
  <si>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</si>
  <si>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</si>
  <si>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</si>
  <si>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</si>
  <si>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</si>
  <si>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</si>
  <si>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</si>
  <si>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</si>
  <si>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</si>
  <si>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</si>
  <si>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</si>
  <si>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</si>
  <si>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</si>
  <si>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</si>
  <si>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</si>
  <si>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</si>
  <si>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</si>
  <si>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</si>
  <si>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</si>
  <si>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</si>
  <si>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</si>
  <si>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</si>
  <si>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</si>
  <si>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</si>
  <si>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</si>
  <si>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</si>
  <si>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</si>
  <si>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</si>
  <si>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</si>
  <si>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</si>
  <si>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</si>
  <si>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</si>
  <si>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</si>
  <si>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</si>
  <si>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</si>
  <si>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</si>
  <si>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</si>
  <si>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</si>
  <si>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</si>
  <si>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</si>
  <si>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</si>
  <si>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</si>
  <si>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</si>
  <si>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</si>
  <si>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</si>
  <si>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</si>
  <si>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</si>
  <si>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</si>
  <si>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</si>
  <si>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</si>
  <si>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</si>
  <si>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</si>
  <si>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</si>
  <si>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</si>
  <si>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</si>
  <si>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</si>
  <si>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</si>
  <si>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</si>
  <si>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</si>
  <si>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</si>
  <si>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</si>
  <si>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</si>
  <si>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</si>
  <si>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</si>
  <si>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</si>
  <si>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</si>
  <si>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</si>
  <si>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</si>
  <si>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</si>
  <si>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</si>
  <si>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</si>
  <si>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</si>
  <si>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</si>
  <si>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</si>
  <si>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</si>
  <si>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</si>
  <si>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</si>
  <si>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</si>
  <si>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</si>
  <si>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</si>
  <si>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</si>
  <si>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</si>
  <si>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</si>
  <si>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</si>
  <si>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</si>
  <si>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</si>
  <si>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</si>
  <si>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</si>
  <si>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</si>
  <si>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</si>
  <si>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</si>
  <si>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</si>
  <si>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</si>
  <si>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</si>
  <si>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</si>
  <si>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</si>
  <si>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</si>
  <si>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</si>
  <si>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</si>
  <si>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</si>
  <si>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</si>
  <si>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</si>
  <si>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</si>
  <si>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</si>
  <si>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</si>
  <si>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</si>
  <si>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</si>
  <si>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</si>
  <si>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</si>
  <si>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</si>
  <si>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</si>
  <si>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</si>
  <si>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</si>
  <si>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</si>
  <si>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</si>
  <si>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</si>
  <si>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</si>
  <si>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</si>
  <si>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</si>
  <si>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</si>
  <si>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</si>
  <si>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</si>
  <si>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</si>
  <si>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</si>
  <si>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</si>
  <si>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</si>
  <si>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</si>
  <si>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</si>
  <si>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</si>
  <si>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</si>
  <si>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</si>
  <si>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</si>
  <si>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</si>
  <si>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</si>
  <si>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</si>
  <si>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</si>
  <si>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</si>
  <si>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</si>
  <si>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</si>
  <si>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</si>
  <si>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</si>
  <si>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</si>
  <si>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</si>
  <si>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</si>
  <si>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</si>
  <si>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</si>
  <si>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</si>
  <si>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</si>
  <si>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</si>
  <si>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</si>
  <si>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</si>
  <si>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</si>
  <si>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</si>
  <si>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</si>
  <si>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</si>
  <si>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</si>
  <si>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</si>
  <si>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</si>
  <si>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</si>
  <si>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</si>
  <si>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</si>
  <si>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</si>
  <si>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</si>
  <si>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</si>
  <si>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</si>
  <si>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</si>
  <si>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</si>
  <si>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</si>
  <si>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</si>
  <si>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</si>
  <si>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</si>
  <si>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</si>
  <si>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</si>
  <si>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</si>
  <si>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</si>
  <si>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</si>
  <si>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</si>
  <si>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</si>
  <si>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</si>
  <si>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</si>
  <si>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</si>
  <si>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</si>
  <si>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</si>
  <si>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</si>
  <si>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</si>
  <si>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</si>
  <si>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</si>
  <si>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</si>
  <si>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</si>
  <si>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</si>
  <si>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</si>
  <si>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</si>
  <si>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</si>
  <si>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</si>
  <si>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</si>
  <si>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</si>
  <si>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</si>
  <si>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</si>
  <si>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</si>
  <si>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</si>
  <si>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</si>
  <si>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</si>
  <si>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</si>
  <si>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</si>
  <si>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</si>
  <si>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</si>
  <si>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</si>
  <si>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</si>
  <si>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</si>
  <si>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</si>
  <si>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</si>
  <si>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</si>
  <si>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</si>
  <si>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</si>
  <si>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</si>
  <si>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</si>
  <si>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</si>
  <si>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</si>
  <si>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</si>
  <si>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</si>
  <si>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</si>
  <si>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</si>
  <si>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</si>
  <si>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</si>
  <si>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</si>
  <si>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</si>
  <si>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</si>
  <si>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</si>
  <si>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</si>
  <si>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</si>
  <si>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</si>
  <si>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</si>
  <si>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</si>
  <si>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</si>
  <si>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</si>
  <si>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</si>
  <si>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</si>
  <si>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</si>
  <si>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</si>
  <si>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</si>
  <si>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</si>
  <si>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</si>
  <si>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</si>
  <si>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</si>
  <si>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</si>
  <si>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</si>
  <si>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</si>
  <si>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</si>
  <si>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</si>
  <si>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</si>
  <si>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</si>
  <si>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</si>
  <si>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</si>
  <si>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</si>
  <si>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</si>
  <si>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</si>
  <si>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</si>
  <si>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</si>
  <si>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</si>
  <si>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</si>
  <si>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</si>
  <si>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</si>
  <si>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</si>
  <si>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</si>
  <si>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</si>
  <si>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</si>
  <si>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</si>
  <si>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</si>
  <si>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</si>
  <si>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</si>
  <si>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</si>
  <si>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</si>
  <si>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</si>
  <si>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</si>
  <si>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</si>
  <si>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</si>
  <si>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</si>
  <si>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</si>
  <si>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</si>
  <si>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</si>
  <si>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</si>
  <si>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</si>
  <si>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</si>
  <si>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</si>
  <si>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</si>
  <si>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</si>
  <si>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</si>
  <si>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</si>
  <si>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</si>
  <si>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</si>
  <si>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</si>
  <si>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</si>
  <si>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</si>
  <si>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</si>
  <si>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</si>
  <si>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</si>
  <si>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</si>
  <si>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</si>
  <si>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</si>
  <si>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</si>
  <si>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</si>
  <si>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</si>
  <si>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</si>
  <si>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</si>
  <si>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</si>
  <si>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</si>
  <si>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</si>
  <si>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</si>
  <si>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</si>
  <si>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</si>
  <si>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</si>
  <si>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</si>
  <si>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</si>
  <si>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</si>
  <si>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</si>
  <si>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</si>
  <si>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</si>
  <si>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</si>
  <si>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</si>
  <si>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</si>
  <si>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</si>
  <si>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</si>
  <si>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</si>
  <si>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</si>
  <si>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</si>
  <si>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</si>
  <si>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</si>
  <si>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</si>
  <si>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</si>
  <si>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</si>
  <si>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</si>
  <si>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</si>
  <si>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</si>
  <si>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</si>
  <si>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</si>
  <si>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</si>
  <si>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</si>
  <si>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</si>
  <si>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</si>
  <si>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</si>
  <si>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</si>
  <si>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</si>
  <si>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</si>
  <si>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</si>
  <si>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</si>
  <si>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</si>
  <si>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</si>
  <si>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</si>
  <si>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</si>
  <si>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</si>
  <si>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</si>
  <si>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</si>
  <si>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</si>
  <si>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</si>
  <si>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</si>
  <si>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</si>
  <si>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</si>
  <si>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</si>
  <si>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</si>
  <si>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</si>
  <si>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</si>
  <si>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</si>
  <si>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</si>
  <si>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</si>
  <si>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</si>
  <si>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</si>
  <si>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</si>
  <si>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</si>
  <si>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</si>
  <si>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</si>
  <si>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</si>
  <si>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</si>
  <si>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</si>
  <si>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</si>
  <si>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</si>
  <si>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</si>
  <si>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</si>
  <si>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</si>
  <si>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</si>
  <si>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</si>
  <si>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</si>
  <si>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</si>
  <si>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</si>
  <si>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</si>
  <si>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</si>
  <si>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</si>
  <si>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</si>
  <si>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</si>
  <si>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</si>
  <si>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</si>
  <si>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</si>
  <si>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</si>
  <si>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</si>
  <si>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</si>
  <si>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</si>
  <si>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</si>
  <si>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</si>
  <si>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</si>
  <si>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</si>
  <si>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</si>
  <si>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</si>
  <si>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</si>
  <si>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</si>
  <si>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</si>
  <si>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</si>
  <si>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</si>
  <si>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</si>
  <si>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</si>
  <si>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</si>
  <si>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</si>
  <si>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</si>
  <si>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</si>
  <si>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</si>
  <si>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</si>
  <si>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</si>
  <si>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</si>
  <si>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</si>
  <si>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</si>
  <si>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</si>
  <si>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</si>
  <si>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</si>
  <si>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</si>
  <si>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</si>
  <si>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</si>
  <si>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</si>
  <si>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</si>
  <si>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</si>
  <si>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</si>
  <si>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</si>
  <si>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</si>
  <si>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</si>
  <si>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</si>
  <si>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</si>
  <si>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</si>
  <si>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</si>
  <si>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</si>
  <si>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</si>
  <si>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</si>
  <si>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</si>
  <si>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</si>
  <si>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</si>
  <si>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</si>
  <si>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</si>
  <si>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</si>
  <si>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</si>
  <si>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</si>
  <si>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</si>
  <si>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</si>
  <si>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</si>
  <si>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</si>
  <si>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</si>
  <si>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</si>
  <si>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</si>
  <si>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</si>
  <si>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</si>
  <si>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</si>
  <si>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</si>
  <si>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</si>
  <si>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</si>
  <si>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</si>
  <si>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</si>
  <si>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</si>
  <si>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</si>
  <si>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</si>
  <si>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</si>
  <si>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</si>
  <si>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</si>
  <si>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</si>
  <si>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</si>
  <si>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</si>
  <si>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</si>
  <si>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</si>
  <si>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</si>
  <si>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</si>
  <si>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</si>
  <si>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</si>
  <si>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</si>
  <si>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</si>
  <si>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</si>
  <si>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</si>
  <si>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</si>
  <si>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</si>
  <si>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</si>
  <si>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</si>
  <si>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</si>
  <si>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</si>
  <si>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</si>
  <si>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</si>
  <si>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</si>
  <si>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</si>
  <si>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</si>
  <si>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</si>
  <si>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</si>
  <si>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</si>
  <si>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</si>
  <si>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</si>
  <si>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</si>
  <si>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</si>
  <si>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</si>
  <si>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</si>
  <si>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</si>
  <si>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</si>
  <si>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</si>
  <si>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</si>
  <si>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</si>
  <si>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</si>
  <si>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</si>
  <si>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</si>
  <si>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</si>
  <si>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</si>
  <si>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</si>
  <si>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</si>
  <si>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</si>
  <si>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</si>
  <si>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</si>
  <si>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</si>
  <si>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</si>
  <si>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</si>
  <si>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</si>
  <si>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</si>
  <si>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</si>
  <si>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</si>
  <si>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</si>
  <si>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</si>
  <si>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</si>
  <si>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</si>
  <si>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</si>
  <si>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</si>
  <si>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</si>
  <si>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</si>
  <si>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</si>
  <si>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</si>
  <si>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</si>
  <si>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</si>
  <si>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</si>
  <si>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</si>
  <si>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</si>
  <si>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</si>
  <si>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</si>
  <si>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</si>
  <si>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</si>
  <si>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</si>
  <si>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</si>
  <si>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</si>
  <si>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</si>
  <si>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</si>
  <si>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</si>
  <si>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</si>
  <si>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</si>
  <si>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</si>
  <si>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</si>
  <si>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</si>
  <si>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</si>
  <si>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</si>
  <si>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</si>
  <si>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</si>
  <si>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</si>
  <si>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</si>
  <si>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</si>
  <si>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</si>
  <si>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</si>
  <si>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</si>
  <si>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</si>
  <si>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</si>
  <si>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</si>
  <si>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</si>
  <si>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</si>
  <si>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</si>
  <si>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</si>
  <si>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</si>
  <si>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</si>
  <si>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</si>
  <si>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</si>
  <si>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</si>
  <si>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</si>
  <si>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</si>
  <si>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</si>
  <si>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</si>
  <si>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</si>
  <si>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</si>
  <si>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</si>
  <si>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</si>
  <si>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</si>
  <si>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</si>
  <si>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</si>
  <si>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</si>
  <si>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</si>
  <si>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</si>
  <si>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</si>
  <si>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</si>
  <si>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</si>
  <si>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</si>
  <si>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</si>
  <si>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</si>
  <si>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</si>
  <si>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</si>
  <si>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</si>
  <si>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</si>
  <si>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</si>
  <si>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</si>
  <si>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</si>
  <si>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</si>
  <si>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</si>
  <si>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</si>
  <si>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</si>
  <si>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</si>
  <si>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</si>
  <si>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</si>
  <si>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</si>
  <si>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</si>
  <si>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</si>
  <si>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</si>
  <si>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</si>
  <si>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</si>
  <si>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</si>
  <si>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</si>
  <si>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</si>
  <si>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</si>
  <si>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</si>
  <si>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</si>
  <si>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</si>
  <si>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</si>
  <si>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</si>
  <si>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</si>
  <si>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</si>
  <si>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</si>
  <si>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</si>
  <si>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</si>
  <si>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</si>
  <si>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</si>
  <si>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</si>
  <si>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</si>
  <si>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</si>
  <si>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</si>
  <si>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</si>
  <si>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</si>
  <si>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</si>
  <si>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</si>
  <si>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</si>
  <si>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</si>
  <si>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</si>
  <si>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</si>
  <si>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</si>
  <si>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</si>
  <si>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</si>
  <si>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</si>
  <si>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</si>
  <si>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</si>
  <si>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</si>
  <si>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</si>
  <si>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</si>
  <si>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</si>
  <si>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</si>
  <si>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</si>
  <si>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</si>
  <si>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</si>
  <si>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</si>
  <si>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</si>
  <si>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</si>
  <si>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</si>
  <si>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</si>
  <si>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</si>
  <si>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</si>
  <si>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</si>
  <si>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</si>
  <si>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</si>
  <si>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</si>
  <si>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</si>
  <si>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</si>
  <si>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</si>
  <si>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</si>
  <si>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</si>
  <si>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</si>
  <si>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</si>
  <si>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</si>
  <si>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</si>
  <si>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</si>
  <si>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</si>
  <si>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</si>
  <si>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</si>
  <si>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</si>
  <si>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</si>
  <si>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</si>
  <si>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</si>
  <si>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</si>
  <si>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</si>
  <si>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</si>
  <si>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</si>
  <si>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</si>
  <si>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</si>
  <si>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</si>
  <si>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</si>
  <si>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</si>
  <si>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</si>
  <si>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</si>
  <si>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</si>
  <si>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</si>
  <si>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</si>
  <si>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</si>
  <si>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</si>
  <si>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</si>
  <si>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</si>
  <si>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</si>
  <si>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</si>
  <si>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</si>
  <si>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</si>
  <si>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</si>
  <si>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</si>
  <si>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</si>
  <si>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</si>
  <si>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</si>
  <si>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</si>
  <si>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</si>
  <si>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</si>
  <si>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</si>
  <si>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</si>
  <si>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</si>
  <si>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</si>
  <si>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</si>
  <si>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</si>
  <si>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</si>
  <si>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</si>
  <si>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</si>
  <si>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</si>
  <si>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</si>
  <si>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</si>
  <si>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</si>
  <si>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</si>
  <si>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</si>
  <si>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</si>
  <si>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</si>
  <si>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</si>
  <si>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</si>
  <si>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</si>
  <si>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</si>
  <si>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</si>
  <si>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</si>
  <si>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</si>
  <si>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</si>
  <si>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</si>
  <si>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</si>
  <si>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</si>
  <si>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</si>
  <si>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</si>
  <si>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</si>
  <si>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</si>
  <si>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</si>
  <si>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</si>
  <si>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</si>
  <si>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</si>
  <si>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</si>
  <si>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</si>
  <si>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</si>
  <si>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</si>
  <si>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</si>
  <si>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</si>
  <si>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</si>
  <si>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</si>
  <si>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</si>
  <si>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</si>
  <si>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</si>
  <si>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</si>
  <si>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</si>
  <si>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</si>
  <si>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</si>
  <si>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</si>
  <si>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</si>
  <si>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</si>
  <si>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</si>
  <si>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</si>
  <si>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</si>
  <si>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</si>
  <si>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</si>
  <si>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</si>
  <si>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</si>
  <si>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</si>
  <si>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</si>
  <si>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</si>
  <si>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</si>
  <si>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</si>
  <si>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</si>
  <si>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</si>
  <si>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</si>
  <si>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</si>
  <si>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</si>
  <si>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</si>
  <si>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</si>
  <si>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</si>
  <si>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</si>
  <si>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</si>
  <si>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</si>
  <si>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</si>
  <si>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</si>
  <si>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</si>
  <si>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</si>
  <si>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</si>
  <si>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</si>
  <si>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</si>
  <si>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</si>
  <si>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</si>
  <si>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</si>
  <si>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</si>
  <si>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</si>
  <si>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</si>
  <si>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</si>
  <si>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</si>
  <si>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</si>
  <si>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</si>
  <si>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</si>
  <si>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</si>
  <si>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</si>
  <si>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</si>
  <si>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</si>
  <si>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</si>
  <si>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</si>
  <si>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</si>
  <si>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</si>
  <si>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</si>
  <si>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</si>
  <si>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</si>
  <si>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</si>
  <si>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</si>
  <si>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</si>
  <si>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</si>
  <si>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</si>
  <si>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</si>
  <si>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</si>
  <si>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</si>
  <si>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</si>
  <si>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</si>
  <si>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</si>
  <si>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</si>
  <si>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</si>
  <si>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</si>
  <si>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</si>
  <si>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</si>
  <si>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</si>
  <si>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</si>
  <si>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</si>
  <si>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</si>
  <si>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</si>
  <si>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</si>
  <si>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</si>
  <si>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</si>
  <si>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</si>
  <si>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</si>
  <si>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</si>
  <si>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</si>
  <si>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</si>
  <si>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</si>
  <si>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</si>
  <si>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</si>
  <si>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</si>
  <si>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</si>
  <si>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</si>
  <si>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</si>
  <si>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</si>
  <si>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</si>
  <si>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от 29.09.2025 МУП "НЕВЕЛЬСКИЕ КОММУНАЛЬНЫЕ СЕТИ" в сфере холодного водоснабжения по модернизации и реконструкции объектов, на территории муниципального округа Невельский на 2026-2028 годы</t>
  </si>
  <si>
    <t>повышение надёжности и энергетической эффективности</t>
  </si>
  <si>
    <t>Региональная энергетическая комиссия Сахалинской области</t>
  </si>
  <si>
    <t>Администрация муниципального образования "Невельский муниципальный округ"</t>
  </si>
  <si>
    <t>01.01.2026</t>
  </si>
  <si>
    <t>31.12.2028</t>
  </si>
  <si>
    <t>Об утверждении инвестиционной программы
муниципального унитарного предприятия «Невельские коммунальные сети» в сфере водоснабжения на период 2026 – 2028 годов</t>
  </si>
  <si>
    <t>приказ</t>
  </si>
  <si>
    <t>1-3.25-613/25</t>
  </si>
  <si>
    <t>29.09.2025</t>
  </si>
  <si>
    <t>О внесении изменений в приказ региональной энергетической комиссии Сахалинской области от 29.09.2025 № 1-3.25-613/25 "Об утверждении инвестиционной программы муниципального унитарного предприятия "Невельские коммунальные сети" в сфере водоснабжения на период 2026-2028 годов"</t>
  </si>
  <si>
    <t>1-3.25-530/26</t>
  </si>
  <si>
    <t>ip_5</t>
  </si>
  <si>
    <t>Добавить реквизиты</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</si>
  <si>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</si>
  <si>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</si>
  <si>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</si>
  <si>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</si>
  <si>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</si>
  <si>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</si>
  <si>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</si>
  <si>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</si>
  <si>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</si>
  <si>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</si>
  <si>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</si>
  <si>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</si>
  <si>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</si>
  <si>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</si>
  <si>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</si>
  <si>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</si>
  <si>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</si>
  <si>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</si>
  <si>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</si>
  <si>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</si>
  <si>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</si>
  <si>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</si>
  <si>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</si>
  <si>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</si>
  <si>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</si>
  <si>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</si>
  <si>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</si>
  <si>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</si>
  <si>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</si>
  <si>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</si>
  <si>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Реконструкция магистрального трубопровода водоснабжения по ул. Солнечная, ул. Колхозная в г. Невельск</t>
  </si>
  <si>
    <t>Декабрь</t>
  </si>
  <si>
    <t>2028</t>
  </si>
  <si>
    <t>ВНС</t>
  </si>
  <si>
    <t>сеть</t>
  </si>
  <si>
    <t>муниципальный округ Невельский</t>
  </si>
  <si>
    <t>64528000</t>
  </si>
  <si>
    <t>г Невельск</t>
  </si>
  <si>
    <t>64528000001</t>
  </si>
  <si>
    <t>ул. Колхозная</t>
  </si>
  <si>
    <t xml:space="preserve">     Прочие амортизационные отчисления</t>
  </si>
  <si>
    <t xml:space="preserve">  Прочие собственные средства</t>
  </si>
  <si>
    <t>Добавить источник финансирования</t>
  </si>
  <si>
    <t>Добавить объект инфраструктуры</t>
  </si>
  <si>
    <t>Установка преобразователя частотного (ПЧ) 32 кВт с установкой моторного дросселя на скважинах водозабора «Придорожный», в комплекте с вспомогательным оборудованием и прокладкой оптоволоконной сети до насосной станции. Интеграция ПЧ в общую сеть на один контроллер. Доработка программного обеспечения контроллера для управления преобразователем частотным</t>
  </si>
  <si>
    <t>2026</t>
  </si>
  <si>
    <t>Водозабор "Придорожный"</t>
  </si>
  <si>
    <t>НС с сетями</t>
  </si>
  <si>
    <t>ул. Солнечная</t>
  </si>
  <si>
    <t>Установка преобразователя частотного (ПЧ) 22 кВт с установкой моторного дросселя на скважинах водозабора «Придорожный», в комплекте с вспомогательным оборудованием и прокладкой оптоволоконной сети до насосной станции. Интеграция ПЧ в общую сеть на один контроллер. Доработка программного обеспечения контроллера для управления преобразователем частотным</t>
  </si>
  <si>
    <t>2027</t>
  </si>
  <si>
    <t>Модернизация щита управления сетевыми насосами 2-го подъема водозабора «Придорожное» с установкой 5-ти частотных преобразователей (ПЧ) по 30 кВт.</t>
  </si>
  <si>
    <t>Добавить мероприятие</t>
  </si>
  <si>
    <t>Установка системы управления насосами СУН 3х75 кВт. на станции 3-го подъема (автоматика на базе сенсорного панельного контроллера СПК110, три частотных преобразователя ПЧВх75 кВт, два преобразователя давления)</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</si>
  <si>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</si>
  <si>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</si>
  <si>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</si>
  <si>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</si>
  <si>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</si>
  <si>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</si>
  <si>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</si>
  <si>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</si>
  <si>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</si>
  <si>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</si>
  <si>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</si>
  <si>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</si>
  <si>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</si>
  <si>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</si>
  <si>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</si>
  <si>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</si>
  <si>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</si>
  <si>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</si>
  <si>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</si>
  <si>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</si>
  <si>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</si>
  <si>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</si>
  <si>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</si>
  <si>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</si>
  <si>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</si>
  <si>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</si>
  <si>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</si>
  <si>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</si>
  <si>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</si>
  <si>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</si>
  <si>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</si>
  <si>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</si>
  <si>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</si>
  <si>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</si>
  <si>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</si>
  <si>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</si>
  <si>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</si>
  <si>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</si>
  <si>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</si>
  <si>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</si>
  <si>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</si>
  <si>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</si>
  <si>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</si>
  <si>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</si>
  <si>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</si>
  <si>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</si>
  <si>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</si>
  <si>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</si>
  <si>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</si>
  <si>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</si>
  <si>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</si>
  <si>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</si>
  <si>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</si>
  <si>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</si>
  <si>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</si>
  <si>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</si>
  <si>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</si>
  <si>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</si>
  <si>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</si>
  <si>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</si>
  <si>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</si>
  <si>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</si>
  <si>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</si>
  <si>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</si>
  <si>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</si>
  <si>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</si>
  <si>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</si>
  <si>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</si>
  <si>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</si>
  <si>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</si>
  <si>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</si>
  <si>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</si>
  <si>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</si>
  <si>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</si>
  <si>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</si>
  <si>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</si>
  <si>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</si>
  <si>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</si>
  <si>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</si>
  <si>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</si>
  <si>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</si>
  <si>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</si>
  <si>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</si>
  <si>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</si>
  <si>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</si>
  <si>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</si>
  <si>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</si>
  <si>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</si>
  <si>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</si>
  <si>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</si>
  <si>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</si>
  <si>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</si>
  <si>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</si>
  <si>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</si>
  <si>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</si>
  <si>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</si>
  <si>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</si>
  <si>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</si>
  <si>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</si>
  <si>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</si>
  <si>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в целом на инвестиционную программу</t>
  </si>
  <si>
    <t>Приказ</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</si>
  <si>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</si>
  <si>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</si>
  <si>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</si>
  <si>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</si>
  <si>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</si>
  <si>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</si>
  <si>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</si>
  <si>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</si>
  <si>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</si>
  <si>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</si>
  <si>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</si>
  <si>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</si>
  <si>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</si>
  <si>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</si>
  <si>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</si>
  <si>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</si>
  <si>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</si>
  <si>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</si>
  <si>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</si>
  <si>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</si>
  <si>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</si>
  <si>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</si>
  <si>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</si>
  <si>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</si>
  <si>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</si>
  <si>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</si>
  <si>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</si>
  <si>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</si>
  <si>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</si>
  <si>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</si>
  <si>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</si>
  <si>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</si>
  <si>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</si>
  <si>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</si>
  <si>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</si>
  <si>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</si>
  <si>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</si>
  <si>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</si>
  <si>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</si>
  <si>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</si>
  <si>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</si>
  <si>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</si>
  <si>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</si>
  <si>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</si>
  <si>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</si>
  <si>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</si>
  <si>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</si>
  <si>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</si>
  <si>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</si>
  <si>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</si>
  <si>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</si>
  <si>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</si>
  <si>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</si>
  <si>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</si>
  <si>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</si>
  <si>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</si>
  <si>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</si>
  <si>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</si>
  <si>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</si>
  <si>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</si>
  <si>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</si>
  <si>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</si>
  <si>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</si>
  <si>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</si>
  <si>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</si>
  <si>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</si>
  <si>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</si>
  <si>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</si>
  <si>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</si>
  <si>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</si>
  <si>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</si>
  <si>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</si>
  <si>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</si>
  <si>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</si>
  <si>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</si>
  <si>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</si>
  <si>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</si>
  <si>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</si>
  <si>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</si>
  <si>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</si>
  <si>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</si>
  <si>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</si>
  <si>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</si>
  <si>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</si>
  <si>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</si>
  <si>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</si>
  <si>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</si>
  <si>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</si>
  <si>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</si>
  <si>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</si>
  <si>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</si>
  <si>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</si>
  <si>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</si>
  <si>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</si>
  <si>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</si>
  <si>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</si>
  <si>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</si>
  <si>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</si>
  <si>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</si>
  <si>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</si>
  <si>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</si>
  <si>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</si>
  <si>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</si>
  <si>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</si>
  <si>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</si>
  <si>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</si>
  <si>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</si>
  <si>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</si>
  <si>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</si>
  <si>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</si>
  <si>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</si>
  <si>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</si>
  <si>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</si>
  <si>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</si>
  <si>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</si>
  <si>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</si>
  <si>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</si>
  <si>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</si>
  <si>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</si>
  <si>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</si>
  <si>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</si>
  <si>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</si>
  <si>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</si>
  <si>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</si>
  <si>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</si>
  <si>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</si>
  <si>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</si>
  <si>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</si>
  <si>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</si>
  <si>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</si>
  <si>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</si>
  <si>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</si>
  <si>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</si>
  <si>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</si>
  <si>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</si>
  <si>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</si>
  <si>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</si>
  <si>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</si>
  <si>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</si>
  <si>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</si>
  <si>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</si>
  <si>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</si>
  <si>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</si>
  <si>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</si>
  <si>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</si>
  <si>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</si>
  <si>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</si>
  <si>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</si>
  <si>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</si>
  <si>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</si>
  <si>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</si>
  <si>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</si>
  <si>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</si>
  <si>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</si>
  <si>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</si>
  <si>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</si>
  <si>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</si>
  <si>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</si>
  <si>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</si>
  <si>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</si>
  <si>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</si>
  <si>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</si>
  <si>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</si>
  <si>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</si>
  <si>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</si>
  <si>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</si>
  <si>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</si>
  <si>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</si>
  <si>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</si>
  <si>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</si>
  <si>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</si>
  <si>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</si>
  <si>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</si>
  <si>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</si>
  <si>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</si>
  <si>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</si>
  <si>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</si>
  <si>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</si>
  <si>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</si>
  <si>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</si>
  <si>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</si>
  <si>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</si>
  <si>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</si>
  <si>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</si>
  <si>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</si>
  <si>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</si>
  <si>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</si>
  <si>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</si>
  <si>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</si>
  <si>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</si>
  <si>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</si>
  <si>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</si>
  <si>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</si>
  <si>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</si>
  <si>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</si>
  <si>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</si>
  <si>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</si>
  <si>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</si>
  <si>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</si>
  <si>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</si>
  <si>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</si>
  <si>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</si>
  <si>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</si>
  <si>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</si>
  <si>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</si>
  <si>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</si>
  <si>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</si>
  <si>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</si>
  <si>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</si>
  <si>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</si>
  <si>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</si>
  <si>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</si>
  <si>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</si>
  <si>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</si>
  <si>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</si>
  <si>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</si>
  <si>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</si>
  <si>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</si>
  <si>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</si>
  <si>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</si>
  <si>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</si>
  <si>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</si>
  <si>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</si>
  <si>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</si>
  <si>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</si>
  <si>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</si>
  <si>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</si>
  <si>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</si>
  <si>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</si>
  <si>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</si>
  <si>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</si>
  <si>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</si>
  <si>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</si>
  <si>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</si>
  <si>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</si>
  <si>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</si>
  <si>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</si>
  <si>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</si>
  <si>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</si>
  <si>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</si>
  <si>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</si>
  <si>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</si>
  <si>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</si>
  <si>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</si>
  <si>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</si>
  <si>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</si>
  <si>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</si>
  <si>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</si>
  <si>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</si>
  <si>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</si>
  <si>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</si>
  <si>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</si>
  <si>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</si>
  <si>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</si>
  <si>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</si>
  <si>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</si>
  <si>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</si>
  <si>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</si>
  <si>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</si>
  <si>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</si>
  <si>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</si>
  <si>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</si>
  <si>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</si>
  <si>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</si>
  <si>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</si>
  <si>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</si>
  <si>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</si>
  <si>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</si>
  <si>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</si>
  <si>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</si>
  <si>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</si>
  <si>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</si>
  <si>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</si>
  <si>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</si>
  <si>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</si>
  <si>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</si>
  <si>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</si>
  <si>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</si>
  <si>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</si>
  <si>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</si>
  <si>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</si>
  <si>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</si>
  <si>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</si>
  <si>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</si>
  <si>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</si>
  <si>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</si>
  <si>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</si>
  <si>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</si>
  <si>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</si>
  <si>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</si>
  <si>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</si>
  <si>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</si>
  <si>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</si>
  <si>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</si>
  <si>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</si>
  <si>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</si>
  <si>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</si>
  <si>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Июль</t>
  </si>
  <si>
    <t xml:space="preserve">  За счет платы за технологическое присоединение</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</si>
  <si>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</si>
  <si>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</si>
  <si>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</si>
  <si>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</si>
  <si>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</si>
  <si>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</si>
  <si>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</si>
  <si>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</si>
  <si>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</si>
  <si>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</si>
  <si>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</si>
  <si>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</si>
  <si>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</si>
  <si>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</si>
  <si>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</si>
  <si>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</si>
  <si>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</si>
  <si>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</si>
  <si>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</si>
  <si>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</si>
  <si>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</si>
  <si>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</si>
  <si>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</si>
  <si>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</si>
  <si>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</si>
  <si>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</si>
  <si>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</si>
  <si>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</si>
  <si>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</si>
  <si>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</si>
  <si>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</si>
  <si>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</si>
  <si>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</si>
  <si>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</si>
  <si>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</si>
  <si>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</si>
  <si>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</si>
  <si>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</si>
  <si>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</si>
  <si>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</si>
  <si>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</si>
  <si>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</si>
  <si>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</si>
  <si>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</si>
  <si>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</si>
  <si>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</si>
  <si>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</si>
  <si>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</si>
  <si>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</si>
  <si>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</si>
  <si>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</si>
  <si>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</si>
  <si>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</si>
  <si>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</si>
  <si>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</si>
  <si>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</si>
  <si>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</si>
  <si>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</si>
  <si>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</si>
  <si>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</si>
  <si>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</si>
  <si>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</si>
  <si>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</si>
  <si>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</si>
  <si>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</si>
  <si>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</si>
  <si>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</si>
  <si>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</si>
  <si>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</si>
  <si>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</si>
  <si>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</si>
  <si>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</si>
  <si>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</si>
  <si>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</si>
  <si>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</si>
  <si>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</si>
  <si>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</si>
  <si>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</si>
  <si>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</si>
  <si>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</si>
  <si>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</si>
  <si>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</si>
  <si>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</si>
  <si>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</si>
  <si>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</si>
  <si>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</si>
  <si>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</si>
  <si>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</si>
  <si>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</si>
  <si>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</si>
  <si>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</si>
  <si>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</si>
  <si>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</si>
  <si>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</si>
  <si>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</si>
  <si>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</si>
  <si>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</si>
  <si>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</si>
  <si>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</si>
  <si>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</si>
  <si>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</si>
  <si>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</si>
  <si>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</si>
  <si>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</si>
  <si>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</si>
  <si>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</si>
  <si>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</si>
  <si>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</si>
  <si>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</si>
  <si>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</si>
  <si>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</si>
  <si>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</si>
  <si>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</si>
  <si>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</si>
  <si>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</si>
  <si>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</si>
  <si>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</si>
  <si>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</si>
  <si>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</si>
  <si>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</si>
  <si>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</si>
  <si>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</si>
  <si>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</si>
  <si>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</si>
  <si>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</si>
  <si>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</si>
  <si>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</si>
  <si>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</si>
  <si>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</si>
  <si>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</si>
  <si>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</si>
  <si>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</si>
  <si>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</si>
  <si>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</si>
  <si>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</si>
  <si>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</si>
  <si>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</si>
  <si>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</si>
  <si>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</si>
  <si>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</si>
  <si>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</si>
  <si>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</si>
  <si>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</si>
  <si>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</si>
  <si>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</si>
  <si>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</si>
  <si>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</si>
  <si>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</si>
  <si>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</si>
  <si>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</si>
  <si>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</si>
  <si>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</si>
  <si>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</si>
  <si>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</si>
  <si>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</si>
  <si>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</si>
  <si>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</si>
  <si>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</si>
  <si>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</si>
  <si>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</si>
  <si>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</si>
  <si>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</si>
  <si>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</si>
  <si>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</si>
  <si>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</si>
  <si>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</si>
  <si>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</si>
  <si>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</si>
  <si>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</si>
  <si>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</si>
  <si>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</si>
  <si>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</si>
  <si>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</si>
  <si>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</si>
  <si>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</si>
  <si>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</si>
  <si>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</si>
  <si>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</si>
  <si>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</si>
  <si>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</si>
  <si>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</si>
  <si>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</si>
  <si>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</si>
  <si>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</si>
  <si>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</si>
  <si>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</si>
  <si>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</si>
  <si>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</si>
  <si>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</si>
  <si>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</si>
  <si>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</si>
  <si>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</si>
  <si>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</si>
  <si>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</si>
  <si>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</si>
  <si>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</si>
  <si>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</si>
  <si>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</si>
  <si>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</si>
  <si>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</si>
  <si>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</si>
  <si>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</si>
  <si>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</si>
  <si>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</si>
  <si>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</si>
  <si>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</si>
  <si>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</si>
  <si>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</si>
  <si>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</si>
  <si>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</si>
  <si>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</si>
  <si>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</si>
  <si>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</si>
  <si>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</si>
  <si>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</si>
  <si>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</si>
  <si>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</si>
  <si>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</si>
  <si>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</si>
  <si>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</si>
  <si>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</si>
  <si>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</si>
  <si>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</si>
  <si>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</si>
  <si>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</si>
  <si>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</si>
  <si>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</si>
  <si>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</si>
  <si>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</si>
  <si>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</si>
  <si>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</si>
  <si>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</si>
  <si>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</si>
  <si>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</si>
  <si>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</si>
  <si>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</si>
  <si>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</si>
  <si>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</si>
  <si>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</si>
  <si>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</si>
  <si>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</si>
  <si>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</si>
  <si>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</si>
  <si>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</si>
  <si>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</si>
  <si>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</si>
  <si>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</si>
  <si>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</si>
  <si>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</si>
  <si>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</si>
  <si>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</si>
  <si>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</si>
  <si>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</si>
  <si>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</si>
  <si>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</si>
  <si>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</si>
  <si>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</si>
  <si>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</si>
  <si>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</si>
  <si>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</si>
  <si>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</si>
  <si>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</si>
  <si>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</si>
  <si>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</si>
  <si>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</si>
  <si>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</si>
  <si>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</si>
  <si>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</si>
  <si>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</si>
  <si>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</si>
  <si>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</si>
  <si>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</si>
  <si>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</si>
  <si>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</si>
  <si>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</si>
  <si>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</si>
  <si>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</si>
  <si>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</si>
  <si>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</si>
  <si>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</si>
  <si>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</si>
  <si>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</si>
  <si>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</si>
  <si>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</si>
  <si>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</si>
  <si>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</si>
  <si>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</si>
  <si>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</si>
  <si>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</si>
  <si>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</si>
  <si>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</si>
  <si>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</si>
  <si>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</si>
  <si>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</si>
  <si>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</si>
  <si>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</si>
  <si>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</si>
  <si>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</si>
  <si>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</si>
  <si>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</si>
  <si>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</si>
  <si>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</si>
  <si>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</si>
  <si>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</si>
  <si>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</si>
  <si>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</si>
  <si>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</si>
  <si>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</si>
  <si>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</si>
  <si>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</si>
  <si>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</si>
  <si>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</si>
  <si>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</si>
  <si>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</si>
  <si>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</si>
  <si>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</si>
  <si>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</si>
  <si>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</si>
  <si>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</si>
  <si>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</si>
  <si>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</si>
  <si>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</si>
  <si>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</si>
  <si>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</si>
  <si>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</si>
  <si>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</si>
  <si>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</si>
  <si>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</si>
  <si>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</si>
  <si>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</si>
  <si>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</si>
  <si>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</si>
  <si>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</si>
  <si>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</si>
  <si>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</si>
  <si>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</si>
  <si>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</si>
  <si>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</si>
  <si>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</si>
  <si>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</si>
  <si>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</si>
  <si>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</si>
  <si>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</si>
  <si>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</si>
  <si>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</si>
  <si>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</si>
  <si>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</si>
  <si>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</si>
  <si>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</si>
  <si>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</si>
  <si>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</si>
  <si>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</si>
  <si>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</si>
  <si>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</si>
  <si>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</si>
  <si>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</si>
  <si>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</si>
  <si>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</si>
  <si>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</si>
  <si>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</si>
  <si>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</si>
  <si>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</si>
  <si>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</si>
  <si>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</si>
  <si>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</si>
  <si>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</si>
  <si>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</si>
  <si>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</si>
  <si>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</si>
  <si>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</si>
  <si>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</si>
  <si>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</si>
  <si>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</si>
  <si>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</si>
  <si>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</si>
  <si>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</si>
  <si>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</si>
  <si>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</si>
  <si>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</si>
  <si>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</si>
  <si>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</si>
  <si>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</si>
  <si>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</si>
  <si>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</si>
  <si>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</si>
  <si>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</si>
  <si>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</si>
  <si>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</si>
  <si>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</si>
  <si>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</si>
  <si>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</si>
  <si>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</si>
  <si>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</si>
  <si>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</si>
  <si>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</si>
  <si>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</si>
  <si>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</si>
  <si>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</si>
  <si>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</si>
  <si>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</si>
  <si>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</si>
  <si>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</si>
  <si>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</si>
  <si>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</si>
  <si>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</si>
  <si>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</si>
  <si>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</si>
  <si>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</si>
  <si>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</si>
  <si>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</si>
  <si>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</si>
  <si>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</si>
  <si>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</si>
  <si>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</si>
  <si>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</si>
  <si>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</si>
  <si>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</si>
  <si>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</si>
  <si>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</si>
  <si>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</si>
  <si>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</si>
  <si>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</si>
  <si>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</si>
  <si>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</si>
  <si>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</si>
  <si>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</si>
  <si>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</si>
  <si>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</si>
  <si>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</si>
  <si>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</si>
  <si>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</si>
  <si>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</si>
  <si>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</si>
  <si>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</si>
  <si>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</si>
  <si>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</si>
  <si>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</si>
  <si>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</si>
  <si>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</si>
  <si>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</si>
  <si>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</si>
  <si>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</si>
  <si>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</si>
  <si>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</si>
  <si>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</si>
  <si>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</si>
  <si>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</si>
  <si>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</si>
  <si>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</si>
  <si>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</si>
  <si>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</si>
  <si>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</si>
  <si>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</si>
  <si>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</si>
  <si>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</si>
  <si>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</si>
  <si>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</si>
  <si>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</si>
  <si>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</si>
  <si>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</si>
  <si>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</si>
  <si>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</si>
  <si>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</si>
  <si>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</si>
  <si>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</si>
  <si>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</si>
  <si>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</si>
  <si>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</si>
  <si>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</si>
  <si>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</si>
  <si>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</si>
  <si>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</si>
  <si>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</si>
  <si>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</si>
  <si>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</si>
  <si>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</si>
  <si>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</si>
  <si>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</si>
  <si>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</si>
  <si>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</si>
  <si>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</si>
  <si>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</si>
  <si>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</si>
  <si>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</si>
  <si>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</si>
  <si>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</si>
  <si>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</si>
  <si>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</si>
  <si>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Информация скорректирована на основании Приказа РЭК Сахалинской области от 07.08.2026 № 1-3.25-530/26 в связи с актуализацией перечня инвестиционных мероприятий и объемов финансирования инвестиционной программы в сфере водоснабжения на период 2026–2028 годов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</si>
  <si>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</si>
  <si>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</si>
  <si>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</si>
  <si>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</si>
  <si>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</si>
  <si>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</si>
  <si>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</si>
  <si>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</si>
  <si>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</si>
  <si>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</si>
  <si>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</si>
  <si>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</si>
  <si>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</si>
  <si>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</si>
  <si>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</si>
  <si>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</si>
  <si>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</si>
  <si>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</si>
  <si>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</si>
  <si>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</si>
  <si>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</si>
  <si>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</si>
  <si>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</si>
  <si>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</si>
  <si>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</si>
  <si>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</si>
  <si>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</si>
  <si>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</si>
  <si>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</si>
  <si>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</si>
  <si>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</si>
  <si>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</si>
  <si>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</si>
  <si>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</si>
  <si>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</si>
  <si>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</si>
  <si>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</si>
  <si>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</si>
  <si>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</si>
  <si>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</si>
  <si>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</si>
  <si>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</si>
  <si>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</si>
  <si>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</si>
  <si>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</si>
  <si>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</si>
  <si>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</si>
  <si>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</si>
  <si>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</si>
  <si>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</si>
  <si>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</si>
  <si>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</si>
  <si>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</si>
  <si>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</si>
  <si>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</si>
  <si>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</si>
  <si>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</si>
  <si>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</si>
  <si>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</si>
  <si>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</si>
  <si>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</si>
  <si>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</si>
  <si>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</si>
  <si>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</si>
  <si>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</si>
  <si>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</si>
  <si>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</si>
  <si>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</si>
  <si>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</si>
  <si>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</si>
  <si>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</si>
  <si>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</si>
  <si>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</si>
  <si>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</si>
  <si>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</si>
  <si>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</si>
  <si>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</si>
  <si>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</si>
  <si>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</si>
  <si>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</si>
  <si>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</si>
  <si>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</si>
  <si>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</si>
  <si>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</si>
  <si>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</si>
  <si>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</si>
  <si>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</si>
  <si>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</si>
  <si>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</si>
  <si>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</si>
  <si>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</si>
  <si>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</si>
  <si>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</si>
  <si>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</si>
  <si>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</si>
  <si>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</si>
  <si>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</si>
  <si>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</si>
  <si>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</si>
  <si>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</si>
  <si>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</si>
  <si>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</si>
  <si>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</si>
  <si>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</si>
  <si>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</si>
  <si>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</si>
  <si>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</si>
  <si>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</si>
  <si>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</si>
  <si>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</si>
  <si>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</si>
  <si>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</si>
  <si>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</si>
  <si>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</si>
  <si>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</si>
  <si>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</si>
  <si>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</si>
  <si>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</si>
  <si>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</si>
  <si>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</si>
  <si>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</si>
  <si>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</si>
  <si>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</si>
  <si>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</si>
  <si>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</si>
  <si>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</si>
  <si>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</si>
  <si>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</si>
  <si>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</si>
  <si>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</si>
  <si>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</si>
  <si>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</si>
  <si>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</si>
  <si>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</si>
  <si>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</si>
  <si>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</si>
  <si>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</si>
  <si>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</si>
  <si>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</si>
  <si>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</si>
  <si>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</si>
  <si>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</si>
  <si>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</si>
  <si>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</si>
  <si>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</si>
  <si>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</si>
  <si>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</si>
  <si>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</si>
  <si>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</si>
  <si>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</si>
  <si>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</si>
  <si>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</si>
  <si>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</si>
  <si>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</si>
  <si>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</si>
  <si>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</si>
  <si>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</si>
  <si>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</si>
  <si>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</si>
  <si>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</si>
  <si>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</si>
  <si>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</si>
  <si>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</si>
  <si>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</si>
  <si>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</si>
  <si>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</si>
  <si>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</si>
  <si>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</si>
  <si>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</si>
  <si>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</si>
  <si>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</si>
  <si>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</si>
  <si>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</si>
  <si>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</si>
  <si>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</si>
  <si>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</si>
  <si>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</si>
  <si>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</si>
  <si>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</si>
  <si>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</si>
  <si>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</si>
  <si>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</si>
  <si>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</si>
  <si>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</si>
  <si>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</si>
  <si>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</si>
  <si>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</si>
  <si>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</si>
  <si>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</si>
  <si>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</si>
  <si>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</si>
  <si>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</si>
  <si>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</si>
  <si>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</si>
  <si>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</si>
  <si>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</si>
  <si>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</si>
  <si>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</si>
  <si>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</si>
  <si>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</si>
  <si>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</si>
  <si>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</si>
  <si>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</si>
  <si>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</si>
  <si>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</si>
  <si>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</si>
  <si>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</si>
  <si>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</si>
  <si>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</si>
  <si>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</si>
  <si>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</si>
  <si>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</si>
  <si>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</si>
  <si>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</si>
  <si>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</si>
  <si>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</si>
  <si>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</si>
  <si>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</si>
  <si>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</si>
  <si>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</si>
  <si>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</si>
  <si>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</si>
  <si>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</si>
  <si>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</si>
  <si>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</si>
  <si>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</si>
  <si>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</si>
  <si>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</si>
  <si>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</si>
  <si>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</si>
  <si>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</si>
  <si>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</si>
  <si>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</si>
  <si>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</si>
  <si>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</si>
  <si>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</si>
  <si>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</si>
  <si>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</si>
  <si>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</si>
  <si>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</si>
  <si>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</si>
  <si>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</si>
  <si>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</si>
  <si>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</si>
  <si>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</si>
  <si>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</si>
  <si>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</si>
  <si>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</si>
  <si>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</si>
  <si>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</si>
  <si>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</si>
  <si>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</si>
  <si>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</si>
  <si>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</si>
  <si>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</si>
  <si>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</si>
  <si>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</si>
  <si>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</si>
  <si>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</si>
  <si>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</si>
  <si>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</si>
  <si>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</si>
  <si>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</si>
  <si>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</si>
  <si>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</si>
  <si>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</si>
  <si>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</si>
  <si>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</si>
  <si>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</si>
  <si>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</si>
  <si>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</si>
  <si>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</si>
  <si>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</si>
  <si>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</si>
  <si>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</si>
  <si>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</si>
  <si>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</si>
  <si>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</si>
  <si>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</si>
  <si>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</si>
  <si>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</si>
  <si>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</si>
  <si>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</si>
  <si>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</si>
  <si>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</si>
  <si>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</si>
  <si>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</si>
  <si>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</si>
  <si>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</si>
  <si>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</si>
  <si>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</si>
  <si>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</si>
  <si>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</si>
  <si>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</si>
  <si>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</si>
  <si>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</si>
  <si>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</si>
  <si>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</si>
  <si>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</si>
  <si>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</si>
  <si>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</si>
  <si>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</si>
  <si>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</si>
  <si>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</si>
  <si>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</si>
  <si>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</si>
  <si>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</si>
  <si>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</si>
  <si>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</si>
  <si>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</si>
  <si>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</si>
  <si>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</si>
  <si>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</si>
  <si>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</si>
  <si>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</si>
  <si>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</si>
  <si>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</si>
  <si>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</si>
  <si>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</si>
  <si>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</si>
  <si>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</si>
  <si>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</si>
  <si>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</si>
  <si>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</si>
  <si>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</si>
  <si>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</si>
  <si>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</si>
  <si>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</si>
  <si>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</si>
  <si>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</si>
  <si>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</si>
  <si>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</si>
  <si>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</si>
  <si>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</si>
  <si>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</si>
  <si>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</si>
  <si>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</si>
  <si>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</si>
  <si>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</si>
  <si>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</si>
  <si>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</si>
  <si>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</si>
  <si>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2669</t>
  </si>
  <si>
    <t>28157504</t>
  </si>
  <si>
    <t>АО "Аэропорт Южно-Сахалинск"</t>
  </si>
  <si>
    <t>6501255385</t>
  </si>
  <si>
    <t>650101001</t>
  </si>
  <si>
    <t>30335229</t>
  </si>
  <si>
    <t>АО "ГУ ЖКХ"</t>
  </si>
  <si>
    <t>5116000922</t>
  </si>
  <si>
    <t>770401001</t>
  </si>
  <si>
    <t>31766867</t>
  </si>
  <si>
    <t>АО "Ногликский Дорожник"</t>
  </si>
  <si>
    <t>6500019956</t>
  </si>
  <si>
    <t>650001001</t>
  </si>
  <si>
    <t>31766861</t>
  </si>
  <si>
    <t>АО "Тымовское ДРСУ"</t>
  </si>
  <si>
    <t>6500019970</t>
  </si>
  <si>
    <t>26318776</t>
  </si>
  <si>
    <t>АО «Охинская ТЭЦ»</t>
  </si>
  <si>
    <t>6506000623</t>
  </si>
  <si>
    <t>650601001</t>
  </si>
  <si>
    <t>26463482</t>
  </si>
  <si>
    <t>Акционерное общество "Корсаковский морской торговый порт"</t>
  </si>
  <si>
    <t>6504020825</t>
  </si>
  <si>
    <t>650401001</t>
  </si>
  <si>
    <t>26318775</t>
  </si>
  <si>
    <t>Акционерное общество "Ногликская газовая электрическая станция"</t>
  </si>
  <si>
    <t>6513012267</t>
  </si>
  <si>
    <t>651301001</t>
  </si>
  <si>
    <t>26374973</t>
  </si>
  <si>
    <t>Акционерное общество "Сахалинская коммунальная компания"</t>
  </si>
  <si>
    <t>6501157613</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</si>
  <si>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</si>
  <si>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</si>
  <si>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</si>
  <si>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</si>
  <si>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31258976</t>
  </si>
  <si>
    <t>ЗАО "ТМС"</t>
  </si>
  <si>
    <t>6501086634</t>
  </si>
  <si>
    <t>26604420</t>
  </si>
  <si>
    <t>МКП "ЖКХ" ОХИНСКОГО МУНИЦИПАЛЬНОГО ОКРУГА</t>
  </si>
  <si>
    <t>6506907877</t>
  </si>
  <si>
    <t>26-05-2010 00:00:00</t>
  </si>
  <si>
    <t>31432272</t>
  </si>
  <si>
    <t>МКП "ЖКХ" УМО</t>
  </si>
  <si>
    <t>6508010419</t>
  </si>
  <si>
    <t>650801001</t>
  </si>
  <si>
    <t>31911275</t>
  </si>
  <si>
    <t>МКП "РЕСУРС" УМО СО</t>
  </si>
  <si>
    <t>6500026713</t>
  </si>
  <si>
    <t>31194807</t>
  </si>
  <si>
    <t>МКП «Шахтерское коммунальное хозяйство» Углегорского муниципального округа Сахалинской области</t>
  </si>
  <si>
    <t>6508010458</t>
  </si>
  <si>
    <t>26318768</t>
  </si>
  <si>
    <t>МП «Тепло-электросистемы Северо-Курильского муниципального округа»</t>
  </si>
  <si>
    <t>6515002120</t>
  </si>
  <si>
    <t>651501001</t>
  </si>
  <si>
    <t>31337977</t>
  </si>
  <si>
    <t>МУП "Водоканал" Томаринского муниципального округа Сахалинской области</t>
  </si>
  <si>
    <t>6516007970</t>
  </si>
  <si>
    <t>651601001</t>
  </si>
  <si>
    <t>28511003</t>
  </si>
  <si>
    <t>МУП "ЖКХ "Универсал"</t>
  </si>
  <si>
    <t>6518008680</t>
  </si>
  <si>
    <t>651801001</t>
  </si>
  <si>
    <t>30796669</t>
  </si>
  <si>
    <t>МУП "ЖЭУ №10"</t>
  </si>
  <si>
    <t>6501149732</t>
  </si>
  <si>
    <t>26604513</t>
  </si>
  <si>
    <t>МУП "Жилкомсервис"</t>
  </si>
  <si>
    <t>6511004197</t>
  </si>
  <si>
    <t>651101001</t>
  </si>
  <si>
    <t>28-04-2010 00:00:00</t>
  </si>
  <si>
    <t>26375020</t>
  </si>
  <si>
    <t>МУП "Ногликский ВДК"</t>
  </si>
  <si>
    <t>6513000783</t>
  </si>
  <si>
    <t>27869221</t>
  </si>
  <si>
    <t>МУП "Поронайская коммунальная компания-1"</t>
  </si>
  <si>
    <t>6507013791</t>
  </si>
  <si>
    <t>650701001</t>
  </si>
  <si>
    <t>07-09-2012 00:00:00</t>
  </si>
  <si>
    <t>28821216</t>
  </si>
  <si>
    <t>МУП "ТЕПЛО" КОРСАКОВСКОГО МУНИЦИПАЛЬНОГО ОКРУГА</t>
  </si>
  <si>
    <t>6504011820</t>
  </si>
  <si>
    <t>31736218</t>
  </si>
  <si>
    <t>МУП "Тепло"</t>
  </si>
  <si>
    <t>6500011869</t>
  </si>
  <si>
    <t>21-08-2023 00:00:00</t>
  </si>
  <si>
    <t>27869146</t>
  </si>
  <si>
    <t>6509021565</t>
  </si>
  <si>
    <t>650901001</t>
  </si>
  <si>
    <t>21-03-2012 00:00:00</t>
  </si>
  <si>
    <t>27869204</t>
  </si>
  <si>
    <t>МУП "Тепловые сети"</t>
  </si>
  <si>
    <t>6509021741</t>
  </si>
  <si>
    <t>30-07-2012 00:00:00</t>
  </si>
  <si>
    <t>28422353</t>
  </si>
  <si>
    <t>МУП "Теплотехник-1"</t>
  </si>
  <si>
    <t>6507014033</t>
  </si>
  <si>
    <t>30854597</t>
  </si>
  <si>
    <t>МУП "Транспорт"</t>
  </si>
  <si>
    <t>6502006053</t>
  </si>
  <si>
    <t>650201001</t>
  </si>
  <si>
    <t>28855778</t>
  </si>
  <si>
    <t>МУП «Вахрушевская коммунальная компания»</t>
  </si>
  <si>
    <t>6507014330</t>
  </si>
  <si>
    <t>26-08-2014 00:00:00</t>
  </si>
  <si>
    <t>30354012</t>
  </si>
  <si>
    <t>МУП «ЖКХ УГО»</t>
  </si>
  <si>
    <t>6508009910</t>
  </si>
  <si>
    <t>06-04-2015 00:00:00</t>
  </si>
  <si>
    <t>31341772</t>
  </si>
  <si>
    <t>МУП «Искра»</t>
  </si>
  <si>
    <t>6509024333</t>
  </si>
  <si>
    <t>17-07-2017 00:00:00</t>
  </si>
  <si>
    <t>30372037</t>
  </si>
  <si>
    <t>МУП «Охинское коммунальное хозяйство Охинского муниципального округа Сахалинской области»</t>
  </si>
  <si>
    <t>6506010830</t>
  </si>
  <si>
    <t>30-10-2015 00:00:00</t>
  </si>
  <si>
    <t>27565788</t>
  </si>
  <si>
    <t>МУП СЖКХ МО ГО "Смирныховский"</t>
  </si>
  <si>
    <t>6514008993</t>
  </si>
  <si>
    <t>651401001</t>
  </si>
  <si>
    <t>30835908</t>
  </si>
  <si>
    <t>МУП Теплоснабжающая компания</t>
  </si>
  <si>
    <t>6504016593</t>
  </si>
  <si>
    <t>27614786</t>
  </si>
  <si>
    <t>Муниципальное унитарное предприятие "Тепловик"</t>
  </si>
  <si>
    <t>6517007814</t>
  </si>
  <si>
    <t>651701001</t>
  </si>
  <si>
    <t>26463480</t>
  </si>
  <si>
    <t>Муниципальное унитарное предприятие "Центральная районная котельная"</t>
  </si>
  <si>
    <t>6504002449</t>
  </si>
  <si>
    <t>26375030</t>
  </si>
  <si>
    <t>Муниципальное унитарное предприятие "Шикотанское жилищное управление"</t>
  </si>
  <si>
    <t>6518007990</t>
  </si>
  <si>
    <t>27570232</t>
  </si>
  <si>
    <t>ОАО "РЖД"</t>
  </si>
  <si>
    <t>272102001</t>
  </si>
  <si>
    <t>28016102</t>
  </si>
  <si>
    <t>ОГАУ ЦМСР "ЧАЙКА"</t>
  </si>
  <si>
    <t>6509005644</t>
  </si>
  <si>
    <t>29-12-2007 00:00:00</t>
  </si>
  <si>
    <t>27682638</t>
  </si>
  <si>
    <t>ООО "Альянс"</t>
  </si>
  <si>
    <t>6512004626</t>
  </si>
  <si>
    <t>651201001</t>
  </si>
  <si>
    <t>07-12-2011 00:00:00</t>
  </si>
  <si>
    <t>28814654</t>
  </si>
  <si>
    <t>ООО "Быков тепло"</t>
  </si>
  <si>
    <t>6503014385</t>
  </si>
  <si>
    <t>650301001</t>
  </si>
  <si>
    <t>25-04-2014 00:00:00</t>
  </si>
  <si>
    <t>28262947</t>
  </si>
  <si>
    <t>ООО "ДальЭнергоИнвест"</t>
  </si>
  <si>
    <t>6501246670</t>
  </si>
  <si>
    <t>30913496</t>
  </si>
  <si>
    <t>650124667</t>
  </si>
  <si>
    <t>26460728</t>
  </si>
  <si>
    <t>ООО "ЖКХ БОШНЯКОВО"</t>
  </si>
  <si>
    <t>6508008339</t>
  </si>
  <si>
    <t>26604324</t>
  </si>
  <si>
    <t>ООО "ЖилКомСервис"</t>
  </si>
  <si>
    <t>6501240237</t>
  </si>
  <si>
    <t>15-09-2010 00:00:00</t>
  </si>
  <si>
    <t>31529508</t>
  </si>
  <si>
    <t>ООО "ИКС - КОРСАКОВ"</t>
  </si>
  <si>
    <t>6504023960</t>
  </si>
  <si>
    <t>31533699</t>
  </si>
  <si>
    <t>ООО "ИКС Южно-Сахалинск"</t>
  </si>
  <si>
    <t>6501307675</t>
  </si>
  <si>
    <t>31529065</t>
  </si>
  <si>
    <t>ООО "ИКС-Макаров Тепло"</t>
  </si>
  <si>
    <t>6512005242</t>
  </si>
  <si>
    <t>30855612</t>
  </si>
  <si>
    <t>ООО "ИКС-Макаров"</t>
  </si>
  <si>
    <t>6507014724</t>
  </si>
  <si>
    <t>31763189</t>
  </si>
  <si>
    <t>ООО "ИР-2"</t>
  </si>
  <si>
    <t>6501314256</t>
  </si>
  <si>
    <t>31448375</t>
  </si>
  <si>
    <t>ООО "КОМУС-2"</t>
  </si>
  <si>
    <t>6516008332</t>
  </si>
  <si>
    <t>26545289</t>
  </si>
  <si>
    <t>ООО "ННК-Сахалинморнефтегаз"</t>
  </si>
  <si>
    <t>6501163102</t>
  </si>
  <si>
    <t>650150001</t>
  </si>
  <si>
    <t>26843874</t>
  </si>
  <si>
    <t>ООО "Пихтовое"</t>
  </si>
  <si>
    <t>6504046823</t>
  </si>
  <si>
    <t>30835919</t>
  </si>
  <si>
    <t>ООО "РСО "Малиновка"</t>
  </si>
  <si>
    <t>6501282300</t>
  </si>
  <si>
    <t>31833096</t>
  </si>
  <si>
    <t>ООО "Ресурс Горизонт"</t>
  </si>
  <si>
    <t>6500011604</t>
  </si>
  <si>
    <t>31335267</t>
  </si>
  <si>
    <t>ООО "САХАЛИН-ИСТ"</t>
  </si>
  <si>
    <t>6501166777</t>
  </si>
  <si>
    <t>28-02-2006 00:00:00</t>
  </si>
  <si>
    <t>31760492</t>
  </si>
  <si>
    <t>ООО "САХАЛИНСКАЯ ГЕНЕРИРУЮЩАЯ КОМПАНИЯ"</t>
  </si>
  <si>
    <t>6500011160</t>
  </si>
  <si>
    <t>31716249</t>
  </si>
  <si>
    <t>ООО "САХАЛИНСКАЯ ТЕПЛОСНАБЖАЮЩАЯ КОМПАНИЯ"</t>
  </si>
  <si>
    <t>6500006435</t>
  </si>
  <si>
    <t>26575191</t>
  </si>
  <si>
    <t>ООО "Сити Молл Сервис"</t>
  </si>
  <si>
    <t>6501211998</t>
  </si>
  <si>
    <t>19-10-2009 00:00:00</t>
  </si>
  <si>
    <t>26463957</t>
  </si>
  <si>
    <t>ООО "Тепло"</t>
  </si>
  <si>
    <t>6509018467</t>
  </si>
  <si>
    <t>31617981</t>
  </si>
  <si>
    <t>ООО "Управляющая компания кунашир"</t>
  </si>
  <si>
    <t>6500002342</t>
  </si>
  <si>
    <t>26318781</t>
  </si>
  <si>
    <t>ООО "Энергетик"</t>
  </si>
  <si>
    <t>6502004585</t>
  </si>
  <si>
    <t>26571249</t>
  </si>
  <si>
    <t>ООО "Энергетик" с. Смирных</t>
  </si>
  <si>
    <t>6514008792</t>
  </si>
  <si>
    <t>17-09-2010 00:00:00</t>
  </si>
  <si>
    <t>31687477</t>
  </si>
  <si>
    <t>ООО «РИР-Сахалин»</t>
  </si>
  <si>
    <t>4726004059</t>
  </si>
  <si>
    <t>31504394</t>
  </si>
  <si>
    <t>ООО «ЮК ВДК»</t>
  </si>
  <si>
    <t>6518008673</t>
  </si>
  <si>
    <t>31513630</t>
  </si>
  <si>
    <t>ООО КК "Зеленая Планета"</t>
  </si>
  <si>
    <t>6501303871</t>
  </si>
  <si>
    <t>12-04-2019 00:00:00</t>
  </si>
  <si>
    <t>26463949</t>
  </si>
  <si>
    <t>Общество с ограниченной ответственностью "Искра"</t>
  </si>
  <si>
    <t>6509018509</t>
  </si>
  <si>
    <t>26462650</t>
  </si>
  <si>
    <t>Общество с ограниченной ответственностью "Сахалинская Газовая Энергетическая компания"</t>
  </si>
  <si>
    <t>6501178250</t>
  </si>
  <si>
    <t>22-12-2009 00:00:00</t>
  </si>
  <si>
    <t>26374980</t>
  </si>
  <si>
    <t>Общество с ограниченной ответственностью "Стародубское жилищно-коммунальное хозяйство"</t>
  </si>
  <si>
    <t>6503011962</t>
  </si>
  <si>
    <t>26802128</t>
  </si>
  <si>
    <t>Общество с ограниченной ответственностью "Теплосеть"</t>
  </si>
  <si>
    <t>6502005606</t>
  </si>
  <si>
    <t>21-03-2011 00:00:00</t>
  </si>
  <si>
    <t>26575217</t>
  </si>
  <si>
    <t>Общество с ограниченной ответственностью "Теплотехник"</t>
  </si>
  <si>
    <t>6502005395</t>
  </si>
  <si>
    <t>29-01-2010 00:00:00</t>
  </si>
  <si>
    <t>26476696</t>
  </si>
  <si>
    <t>Общество с ограниченной ответственностью "Шикотанский водоканал"</t>
  </si>
  <si>
    <t>6518008070</t>
  </si>
  <si>
    <t>23-09-2009 00:00:00</t>
  </si>
  <si>
    <t>26318777</t>
  </si>
  <si>
    <t>ПАО "Сахалинэнерго"</t>
  </si>
  <si>
    <t>6500000024</t>
  </si>
  <si>
    <t>26464008</t>
  </si>
  <si>
    <t>ПАО "ХМТП"</t>
  </si>
  <si>
    <t>6509001181</t>
  </si>
  <si>
    <t>31750461</t>
  </si>
  <si>
    <t>ПУ ФСБ России по Сахалинской области</t>
  </si>
  <si>
    <t>6501165653</t>
  </si>
  <si>
    <t>РЕГИОНАЛЬНАЯ ЭНЕРГЕТИЧЕСКАЯ КОМИССИЯ САХАЛИНСКОЙ ОБЛАСТИ</t>
  </si>
  <si>
    <t>6501073032</t>
  </si>
  <si>
    <t>26463395</t>
  </si>
  <si>
    <t>СПК «РК «Дружба»</t>
  </si>
  <si>
    <t>6507000094</t>
  </si>
  <si>
    <t>30903763</t>
  </si>
  <si>
    <t>ФГБУ "ЦЖКУ" МИНОБОРОНЫ РОССИИ</t>
  </si>
  <si>
    <t>7729314745</t>
  </si>
  <si>
    <t>770101001</t>
  </si>
  <si>
    <t>30926365</t>
  </si>
  <si>
    <t>ФГБУ «ЦЖКУ» МО РФ (Филиал ФГБУ «ЦЖКУ» МО РФ по ВВО)</t>
  </si>
  <si>
    <t>272443001</t>
  </si>
  <si>
    <t>20-03-2017 00:00:00</t>
  </si>
  <si>
    <t>31632870</t>
  </si>
  <si>
    <t>Филиал АО "Россети Мобильные ГТЭС" -  "Итуруп"</t>
  </si>
  <si>
    <t>7706627050</t>
  </si>
  <si>
    <t>651845003</t>
  </si>
  <si>
    <t>31456033</t>
  </si>
  <si>
    <t>Филиал АО "Россети Мобильные ГТЭС" -  "Кунашир"</t>
  </si>
  <si>
    <t>651845002</t>
  </si>
  <si>
    <t>26761819</t>
  </si>
  <si>
    <t>Филиал ОАО "РЭУ "Хабаровский"</t>
  </si>
  <si>
    <t>7714783092</t>
  </si>
  <si>
    <t>272343002</t>
  </si>
  <si>
    <t>26374971</t>
  </si>
  <si>
    <t>АО "Дальморнефтегеофизика"</t>
  </si>
  <si>
    <t>6501146467</t>
  </si>
  <si>
    <t>26651340</t>
  </si>
  <si>
    <t>ГБУ "ДСО "Солнечная Долина"</t>
  </si>
  <si>
    <t>6517001763</t>
  </si>
  <si>
    <t>30479413</t>
  </si>
  <si>
    <t>МКП "Городской водоканал"</t>
  </si>
  <si>
    <t>6501281770</t>
  </si>
  <si>
    <t>28464122</t>
  </si>
  <si>
    <t>МКП СК МО «Автодор»</t>
  </si>
  <si>
    <t>6515003268</t>
  </si>
  <si>
    <t>11-01-2013 00:00:00</t>
  </si>
  <si>
    <t>26375028</t>
  </si>
  <si>
    <t>МП "Водоканал"</t>
  </si>
  <si>
    <t>651601000</t>
  </si>
  <si>
    <t>30827075</t>
  </si>
  <si>
    <t>МУП  "Горнозаводская управляющая компания"</t>
  </si>
  <si>
    <t>6505010932</t>
  </si>
  <si>
    <t>30479407</t>
  </si>
  <si>
    <t>МУП "Благоустройство" МО "Томаринский городской округ"</t>
  </si>
  <si>
    <t>6516008685</t>
  </si>
  <si>
    <t>30983249</t>
  </si>
  <si>
    <t>МУП «Водоканал»</t>
  </si>
  <si>
    <t>6509024319</t>
  </si>
  <si>
    <t>27870922</t>
  </si>
  <si>
    <t>МУП «Водоканал» Корсаковского муниципального округа</t>
  </si>
  <si>
    <t>6504009660</t>
  </si>
  <si>
    <t>24-08-2012 00:00:00</t>
  </si>
  <si>
    <t>31701776</t>
  </si>
  <si>
    <t>ООО "АНИВСКИЕ КОММУНАЛЬНЫЕ СИСТЕМЫ"</t>
  </si>
  <si>
    <t>6500012781</t>
  </si>
  <si>
    <t>26464552</t>
  </si>
  <si>
    <t>ООО "ВОДОКАНАЛРЕМСТРОЙ"</t>
  </si>
  <si>
    <t>6502005148</t>
  </si>
  <si>
    <t>21-01-2009 00:00:00</t>
  </si>
  <si>
    <t>30394649</t>
  </si>
  <si>
    <t>ООО "Водоканал" Макаровского городского округа</t>
  </si>
  <si>
    <t>6512004834</t>
  </si>
  <si>
    <t>31642678</t>
  </si>
  <si>
    <t>ООО "Водоканал-Макаров"</t>
  </si>
  <si>
    <t>6500004149</t>
  </si>
  <si>
    <t>26761349</t>
  </si>
  <si>
    <t>ООО "ЖКК"</t>
  </si>
  <si>
    <t>6501179504</t>
  </si>
  <si>
    <t>28821196</t>
  </si>
  <si>
    <t>ООО "Ника плюс"</t>
  </si>
  <si>
    <t>6509022304</t>
  </si>
  <si>
    <t>31534660</t>
  </si>
  <si>
    <t>ООО "РВК-Сахалин"</t>
  </si>
  <si>
    <t>7730263950</t>
  </si>
  <si>
    <t>30858988</t>
  </si>
  <si>
    <t>ООО "РСО "Универсал"</t>
  </si>
  <si>
    <t>6504017773</t>
  </si>
  <si>
    <t>24-11-2016 00:00:00</t>
  </si>
  <si>
    <t>28143928</t>
  </si>
  <si>
    <t>ООО "Техвод"</t>
  </si>
  <si>
    <t>6506908687</t>
  </si>
  <si>
    <t>27-01-2026 00:00:00</t>
  </si>
  <si>
    <t>31023013</t>
  </si>
  <si>
    <t>ООО "УК "Серебряный бор"</t>
  </si>
  <si>
    <t>6501290326</t>
  </si>
  <si>
    <t>26604633</t>
  </si>
  <si>
    <t>ООО"Холмский водоканал"</t>
  </si>
  <si>
    <t>6509020226</t>
  </si>
  <si>
    <t>28077620</t>
  </si>
  <si>
    <t>Управление Федеральной службы исполнения наказаний по Сахалинской области</t>
  </si>
  <si>
    <t>6501026201</t>
  </si>
  <si>
    <t>28253020</t>
  </si>
  <si>
    <t>ФКУ ИК-1 УФСИН России по Сахалинской области</t>
  </si>
  <si>
    <t>6501021316</t>
  </si>
  <si>
    <t>28427665</t>
  </si>
  <si>
    <t>ФКУ ИК-2 УФСИН России по Сахалинской области</t>
  </si>
  <si>
    <t>6514000803</t>
  </si>
  <si>
    <t>31698214</t>
  </si>
  <si>
    <t>АО "СОВХОЗ "ТЕПЛИЧНЫЙ"</t>
  </si>
  <si>
    <t>6501254511</t>
  </si>
  <si>
    <t>28965887</t>
  </si>
  <si>
    <t>АО "Управление по обращению с отходами"</t>
  </si>
  <si>
    <t>6501269229</t>
  </si>
  <si>
    <t>29-01-2015 00:00:00</t>
  </si>
  <si>
    <t>31698263</t>
  </si>
  <si>
    <t>ИП Балышев Сергей Васильевич</t>
  </si>
  <si>
    <t>650104912994</t>
  </si>
  <si>
    <t>31698204</t>
  </si>
  <si>
    <t>ИП Тё Алексей Мансекович</t>
  </si>
  <si>
    <t>650115428200</t>
  </si>
  <si>
    <t>26770666</t>
  </si>
  <si>
    <t>МАУ "Управление городским хозяйством"</t>
  </si>
  <si>
    <t>6503012701</t>
  </si>
  <si>
    <t>31698231</t>
  </si>
  <si>
    <t>МБУ "ЗЕЛЕНЫЙ ГОРОД"</t>
  </si>
  <si>
    <t>6501238735</t>
  </si>
  <si>
    <t>28451021</t>
  </si>
  <si>
    <t>МБУ Анивское "Благоустройство"</t>
  </si>
  <si>
    <t>6501238534</t>
  </si>
  <si>
    <t>651001001</t>
  </si>
  <si>
    <t>30854593</t>
  </si>
  <si>
    <t>МУП "Жилищная Коммунальная служба"</t>
  </si>
  <si>
    <t>6517007204</t>
  </si>
  <si>
    <t>31698014</t>
  </si>
  <si>
    <t>МУП "УОН"</t>
  </si>
  <si>
    <t>6513002318</t>
  </si>
  <si>
    <t>31267538</t>
  </si>
  <si>
    <t>Муниципальное унитарное предприятие "Строитель" муниципального образования "Макаровский городской округ"</t>
  </si>
  <si>
    <t>6512002107</t>
  </si>
  <si>
    <t>06-11-2002 00:00:00</t>
  </si>
  <si>
    <t>31698268</t>
  </si>
  <si>
    <t>ООО "АЙЛЭНД ДЖЕНЕРАЛ СЕРВИСЕС"</t>
  </si>
  <si>
    <t>6501145495</t>
  </si>
  <si>
    <t>31698274</t>
  </si>
  <si>
    <t>ООО "АЛТАОЛ"</t>
  </si>
  <si>
    <t>6511005786</t>
  </si>
  <si>
    <t>26382650</t>
  </si>
  <si>
    <t>ООО "Альтаир"</t>
  </si>
  <si>
    <t>6506011086</t>
  </si>
  <si>
    <t>26382648</t>
  </si>
  <si>
    <t>ООО "ВЕГА"</t>
  </si>
  <si>
    <t>6503012123</t>
  </si>
  <si>
    <t>31698242</t>
  </si>
  <si>
    <t>ООО "ГРИН ЭНЕРДЖИ"</t>
  </si>
  <si>
    <t>6501289680</t>
  </si>
  <si>
    <t>28817375</t>
  </si>
  <si>
    <t>ООО "Гарантия"</t>
  </si>
  <si>
    <t>6518007817</t>
  </si>
  <si>
    <t>651801008</t>
  </si>
  <si>
    <t>31827739</t>
  </si>
  <si>
    <t>ООО "НДРСУ"</t>
  </si>
  <si>
    <t>6500019628</t>
  </si>
  <si>
    <t>26460819</t>
  </si>
  <si>
    <t>ООО "Новый город"</t>
  </si>
  <si>
    <t>6504046277</t>
  </si>
  <si>
    <t>31698222</t>
  </si>
  <si>
    <t>ООО "ПКМО"</t>
  </si>
  <si>
    <t>6507015823</t>
  </si>
  <si>
    <t>31698209</t>
  </si>
  <si>
    <t>ООО "САХЭКОТРАНС"</t>
  </si>
  <si>
    <t>6506011907</t>
  </si>
  <si>
    <t>31266462</t>
  </si>
  <si>
    <t>ООО "ЦПУ"</t>
  </si>
  <si>
    <t>6501276057</t>
  </si>
  <si>
    <t>23-07-2015 00:00:00</t>
  </si>
  <si>
    <t>31310346</t>
  </si>
  <si>
    <t>ООО "Чистый город"</t>
  </si>
  <si>
    <t>6501150079</t>
  </si>
  <si>
    <t>31698053</t>
  </si>
  <si>
    <t>ООО "ЭКО-ЛОГИСТИК"</t>
  </si>
  <si>
    <t>6501313446</t>
  </si>
  <si>
    <t>31715903</t>
  </si>
  <si>
    <t>ООО "ЭКОМИР-ИТУРУП"</t>
  </si>
  <si>
    <t>6500003787</t>
  </si>
  <si>
    <t>31715899</t>
  </si>
  <si>
    <t>ООО "ЭКОМИР-КУНАШИР"</t>
  </si>
  <si>
    <t>6500003829</t>
  </si>
  <si>
    <t>26382645</t>
  </si>
  <si>
    <t>ООО "ЭКОСИТИ"</t>
  </si>
  <si>
    <t>6501167690</t>
  </si>
  <si>
    <t>31698039</t>
  </si>
  <si>
    <t>ООО "ЭКОШЕЛЬФ"</t>
  </si>
  <si>
    <t>6501091715</t>
  </si>
  <si>
    <t>31907847</t>
  </si>
  <si>
    <t>ООО «КОМФОРТ СТРОЙ»</t>
  </si>
  <si>
    <t>6501301306</t>
  </si>
  <si>
    <t>31698218</t>
  </si>
  <si>
    <t>ООО"РЕСУРС-ПЛЮС"</t>
  </si>
  <si>
    <t>6502005540</t>
  </si>
  <si>
    <t>NSRF</t>
  </si>
  <si>
    <t>MR_NAME</t>
  </si>
  <si>
    <t>OKTMO_MR_NAME</t>
  </si>
  <si>
    <t>MO_NAME</t>
  </si>
  <si>
    <t>OKTMO_NAME</t>
  </si>
  <si>
    <t>TYPE</t>
  </si>
  <si>
    <t>MR_ID</t>
  </si>
  <si>
    <t>Анивский городской округ</t>
  </si>
  <si>
    <t>64708000</t>
  </si>
  <si>
    <t>городской округ</t>
  </si>
  <si>
    <t>Корсаковский городской округ</t>
  </si>
  <si>
    <t>64716000</t>
  </si>
  <si>
    <t>Курильский городской округ</t>
  </si>
  <si>
    <t>64720000</t>
  </si>
  <si>
    <t>Макаровский городской округ</t>
  </si>
  <si>
    <t>64724000</t>
  </si>
  <si>
    <t>Невельский городской округ</t>
  </si>
  <si>
    <t>64728000</t>
  </si>
  <si>
    <t>Северо-Курильский городской округ</t>
  </si>
  <si>
    <t>64743000</t>
  </si>
  <si>
    <t>Томаринский городской округ</t>
  </si>
  <si>
    <t>64748000</t>
  </si>
  <si>
    <t>Тымовский городской округ</t>
  </si>
  <si>
    <t>64750000</t>
  </si>
  <si>
    <t>Холмский городской округ</t>
  </si>
  <si>
    <t>64754000</t>
  </si>
  <si>
    <t>Южно-Курильский городской округ</t>
  </si>
  <si>
    <t>64756000</t>
  </si>
  <si>
    <t>городской округ "Александровск-Сахалинский район"</t>
  </si>
  <si>
    <t>64704000</t>
  </si>
  <si>
    <t>городской округ "Город Южно-Сахалинск"</t>
  </si>
  <si>
    <t>64701000</t>
  </si>
  <si>
    <t>городской округ "Долинский"</t>
  </si>
  <si>
    <t>64712000</t>
  </si>
  <si>
    <t>городской округ "Ногликский"</t>
  </si>
  <si>
    <t>64732000</t>
  </si>
  <si>
    <t>городской округ "Охинский"</t>
  </si>
  <si>
    <t>64736000</t>
  </si>
  <si>
    <t>городской округ "Поронайский"</t>
  </si>
  <si>
    <t>64740000</t>
  </si>
  <si>
    <t>городской округ "Смирныховский"</t>
  </si>
  <si>
    <t>64746000</t>
  </si>
  <si>
    <t>городской округ "Углегорский"</t>
  </si>
  <si>
    <t>64752000</t>
  </si>
  <si>
    <t>муниципальный округ Александровск-Сахалинский</t>
  </si>
  <si>
    <t>64504000</t>
  </si>
  <si>
    <t>муниципальный округ</t>
  </si>
  <si>
    <t>муниципальный округ Анивский</t>
  </si>
  <si>
    <t>64508000</t>
  </si>
  <si>
    <t>муниципальный округ Долинский</t>
  </si>
  <si>
    <t>64512000</t>
  </si>
  <si>
    <t>муниципальный округ Корсаковский</t>
  </si>
  <si>
    <t>64516000</t>
  </si>
  <si>
    <t>муниципальный округ Курильский</t>
  </si>
  <si>
    <t>64520000</t>
  </si>
  <si>
    <t>муниципальный округ Макаровский</t>
  </si>
  <si>
    <t>64524000</t>
  </si>
  <si>
    <t>муниципальный округ Ногликский</t>
  </si>
  <si>
    <t>64532000</t>
  </si>
  <si>
    <t>муниципальный округ Охинский</t>
  </si>
  <si>
    <t>64536000</t>
  </si>
  <si>
    <t>муниципальный округ Поронайский</t>
  </si>
  <si>
    <t>64540000</t>
  </si>
  <si>
    <t>муниципальный округ Северо-Курильский</t>
  </si>
  <si>
    <t>64543000</t>
  </si>
  <si>
    <t>муниципальный округ Смирныховский</t>
  </si>
  <si>
    <t>64546000</t>
  </si>
  <si>
    <t>муниципальный округ Томаринский</t>
  </si>
  <si>
    <t>64548000</t>
  </si>
  <si>
    <t>муниципальный округ Тымовский</t>
  </si>
  <si>
    <t>64550000</t>
  </si>
  <si>
    <t>муниципальный округ Углегорский</t>
  </si>
  <si>
    <t>64552000</t>
  </si>
  <si>
    <t>муниципальный округ Холмский</t>
  </si>
  <si>
    <t>64554000</t>
  </si>
  <si>
    <t>муниципальный округ Южно-Курильский</t>
  </si>
  <si>
    <t>64556000</t>
  </si>
  <si>
    <t>NUMBER_POINT</t>
  </si>
  <si>
    <t>INVP_NAME</t>
  </si>
  <si>
    <t>INVP_ID</t>
  </si>
  <si>
    <t>L_START_DATE</t>
  </si>
  <si>
    <t>L_END_DATE</t>
  </si>
  <si>
    <t>L_DECISION_NAME</t>
  </si>
  <si>
    <t>L_DECISION_TYPE</t>
  </si>
  <si>
    <t>L_DECISION_NMBR</t>
  </si>
  <si>
    <t>L_DECISION_DATE</t>
  </si>
  <si>
    <t>8845934223</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</si>
  <si>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</si>
  <si>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</si>
  <si>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</si>
  <si>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</si>
  <si>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</si>
  <si>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</si>
  <si>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</si>
  <si>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</si>
  <si>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</si>
  <si>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</si>
  <si>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</si>
  <si>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</si>
  <si>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</si>
  <si>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</si>
  <si>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</si>
  <si>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</si>
  <si>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</si>
  <si>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</si>
  <si>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</si>
  <si>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</si>
  <si>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</si>
  <si>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</si>
  <si>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</si>
  <si>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L_SERVICE_CLEANING</t>
  </si>
  <si>
    <t>L_SERVICE_TRANSMISSION</t>
  </si>
  <si>
    <t>L_PR_IC</t>
  </si>
  <si>
    <t>L_PR_CL</t>
  </si>
  <si>
    <t>L_CLN_IC</t>
  </si>
  <si>
    <t>L_CLN_CL</t>
  </si>
  <si>
    <t>L_TR_IC</t>
  </si>
  <si>
    <t>L_TR_CL</t>
  </si>
  <si>
    <t>с Шебунино</t>
  </si>
  <si>
    <t>64528000151</t>
  </si>
  <si>
    <t>Горная</t>
  </si>
  <si>
    <t>муниципальное имущество</t>
  </si>
  <si>
    <t>хозяйственное ведение</t>
  </si>
  <si>
    <t>https://portal.eias.ru/Portal/DownloadPage.aspx?type=12&amp;guid=86c2fbe5-bab0-4375-ad6b-82af07219a55</t>
  </si>
  <si>
    <t>эксплуатируется</t>
  </si>
  <si>
    <t>договор</t>
  </si>
  <si>
    <t>1/13</t>
  </si>
  <si>
    <t>01.01.2013</t>
  </si>
  <si>
    <t>675</t>
  </si>
  <si>
    <t>ВОС (станция водоподготовки)</t>
  </si>
  <si>
    <t>ОС с сетями</t>
  </si>
  <si>
    <t>с Горнозаводск</t>
  </si>
  <si>
    <t>64528000141</t>
  </si>
  <si>
    <t>69.55</t>
  </si>
  <si>
    <t>110</t>
  </si>
  <si>
    <t>Водозабор "Колхозный"</t>
  </si>
  <si>
    <t>с Колхозное</t>
  </si>
  <si>
    <t>64528000106</t>
  </si>
  <si>
    <t>ул. Гагарина</t>
  </si>
  <si>
    <t>119</t>
  </si>
  <si>
    <t>420</t>
  </si>
  <si>
    <t>600</t>
  </si>
  <si>
    <t>Водозабор на р. Лопатинка</t>
  </si>
  <si>
    <t>145.2</t>
  </si>
  <si>
    <t>125.9</t>
  </si>
  <si>
    <t>Водозабор на руч. Командный</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</si>
  <si>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</si>
  <si>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</si>
  <si>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</si>
  <si>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</si>
  <si>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</si>
  <si>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</si>
  <si>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</si>
  <si>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</si>
  <si>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</si>
  <si>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</si>
  <si>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</si>
  <si>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</si>
  <si>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</si>
  <si>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</si>
  <si>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</si>
  <si>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</si>
  <si>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</si>
  <si>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</si>
  <si>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</si>
  <si>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</si>
  <si>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</si>
  <si>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</si>
  <si>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</si>
  <si>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</si>
  <si>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</si>
  <si>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</si>
  <si>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</si>
  <si>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</si>
  <si>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</si>
  <si>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</si>
  <si>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</si>
  <si>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</si>
  <si>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</si>
  <si>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</si>
  <si>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</si>
  <si>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</si>
  <si>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</si>
  <si>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</si>
  <si>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</si>
  <si>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</si>
  <si>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</si>
  <si>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</si>
  <si>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</si>
  <si>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</si>
  <si>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</si>
  <si>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</si>
  <si>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</si>
  <si>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</si>
  <si>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</si>
  <si>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</si>
  <si>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</si>
  <si>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</si>
  <si>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</si>
  <si>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</si>
  <si>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</si>
  <si>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</si>
  <si>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</si>
  <si>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</si>
  <si>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</si>
  <si>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</si>
  <si>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</si>
  <si>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</si>
  <si>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</si>
  <si>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</si>
  <si>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</si>
  <si>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</si>
  <si>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</si>
  <si>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</si>
  <si>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</si>
  <si>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</si>
  <si>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</si>
  <si>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</si>
  <si>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</si>
  <si>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</si>
  <si>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</si>
  <si>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</si>
  <si>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</si>
  <si>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</si>
  <si>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</si>
  <si>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</si>
  <si>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</si>
  <si>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</si>
  <si>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</si>
  <si>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</si>
  <si>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</si>
  <si>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</si>
  <si>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</si>
  <si>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</si>
  <si>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</si>
  <si>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</si>
  <si>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</si>
  <si>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</si>
  <si>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</si>
  <si>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</si>
  <si>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</si>
  <si>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</si>
  <si>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</si>
  <si>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</si>
  <si>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</si>
  <si>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</si>
  <si>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</si>
  <si>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</si>
  <si>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</si>
  <si>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</si>
  <si>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</si>
  <si>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</si>
  <si>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</si>
  <si>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</si>
  <si>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</si>
  <si>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</si>
  <si>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</si>
  <si>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</si>
  <si>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</si>
  <si>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</si>
  <si>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</si>
  <si>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</si>
  <si>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</si>
  <si>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</si>
  <si>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</si>
  <si>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</si>
  <si>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</si>
  <si>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</si>
  <si>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</si>
  <si>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</si>
  <si>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</si>
  <si>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</si>
  <si>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</si>
  <si>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</si>
  <si>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</si>
  <si>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</si>
  <si>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</si>
  <si>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</si>
  <si>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</si>
  <si>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</si>
  <si>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</si>
  <si>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</si>
  <si>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</si>
  <si>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</si>
  <si>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</si>
  <si>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</si>
  <si>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</si>
  <si>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</si>
  <si>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</si>
  <si>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</si>
  <si>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</si>
  <si>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</si>
  <si>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</si>
  <si>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</si>
  <si>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</si>
  <si>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</si>
  <si>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</si>
  <si>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</si>
  <si>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</si>
  <si>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</si>
  <si>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</si>
  <si>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</si>
  <si>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</si>
  <si>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</si>
  <si>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</si>
  <si>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</si>
  <si>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</si>
  <si>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</si>
  <si>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</si>
  <si>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</si>
  <si>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</si>
  <si>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</si>
  <si>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</si>
  <si>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</si>
  <si>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</si>
  <si>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</si>
  <si>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</si>
  <si>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</si>
  <si>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</si>
  <si>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</si>
  <si>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</si>
  <si>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</si>
  <si>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</si>
  <si>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</si>
  <si>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</si>
  <si>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</si>
  <si>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</si>
  <si>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</si>
  <si>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</si>
  <si>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</si>
  <si>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</si>
  <si>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</si>
  <si>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</si>
  <si>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</si>
  <si>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</si>
  <si>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</si>
  <si>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</si>
  <si>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</si>
  <si>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</si>
  <si>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</si>
  <si>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</si>
  <si>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</si>
  <si>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</si>
  <si>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</si>
  <si>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</si>
  <si>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</si>
  <si>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</si>
  <si>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</si>
  <si>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</si>
  <si>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</si>
  <si>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</si>
  <si>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</si>
  <si>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</si>
  <si>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</si>
  <si>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</si>
  <si>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</si>
  <si>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</si>
  <si>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</si>
  <si>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</si>
  <si>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</si>
  <si>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</si>
  <si>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</si>
  <si>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</si>
  <si>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</si>
  <si>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</si>
  <si>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</si>
  <si>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</si>
  <si>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</si>
  <si>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</si>
  <si>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</si>
  <si>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</si>
  <si>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</si>
  <si>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</si>
  <si>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</si>
  <si>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</si>
  <si>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</si>
  <si>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</si>
  <si>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</si>
  <si>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</si>
  <si>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</si>
  <si>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</si>
  <si>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</si>
  <si>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</si>
  <si>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</si>
  <si>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</si>
  <si>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</si>
  <si>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</si>
  <si>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</si>
  <si>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</si>
  <si>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</si>
  <si>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</si>
  <si>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</si>
  <si>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</si>
  <si>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</si>
  <si>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</si>
  <si>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</si>
  <si>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</si>
  <si>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</si>
  <si>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</si>
  <si>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</si>
  <si>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</si>
  <si>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</si>
  <si>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</si>
  <si>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</si>
  <si>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</si>
  <si>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</si>
  <si>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</si>
  <si>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</si>
  <si>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</si>
  <si>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</si>
  <si>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</si>
  <si>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</si>
  <si>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</si>
  <si>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</si>
  <si>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</si>
  <si>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</si>
  <si>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</si>
  <si>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</si>
  <si>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</si>
  <si>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</si>
  <si>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</si>
  <si>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</si>
  <si>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</si>
  <si>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</si>
  <si>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</si>
  <si>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</si>
  <si>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</si>
  <si>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</si>
  <si>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</si>
  <si>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</si>
  <si>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</si>
  <si>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</si>
  <si>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</si>
  <si>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</si>
  <si>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</si>
  <si>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</si>
  <si>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</si>
  <si>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</si>
  <si>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</si>
  <si>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</si>
  <si>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</si>
  <si>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</si>
  <si>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</si>
  <si>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</si>
  <si>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</si>
  <si>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</si>
  <si>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</si>
  <si>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</si>
  <si>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</si>
  <si>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</si>
  <si>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</si>
  <si>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</si>
  <si>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</si>
  <si>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</si>
  <si>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</si>
  <si>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</si>
  <si>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</si>
  <si>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</si>
  <si>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</si>
  <si>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</si>
  <si>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</si>
  <si>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</si>
  <si>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</si>
  <si>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</si>
  <si>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</si>
  <si>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</si>
  <si>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</si>
  <si>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</si>
  <si>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</si>
  <si>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</si>
  <si>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</si>
  <si>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</si>
  <si>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</si>
  <si>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</si>
  <si>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</si>
  <si>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</si>
  <si>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</si>
  <si>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</si>
  <si>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</si>
  <si>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</si>
  <si>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</si>
  <si>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</si>
  <si>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</si>
  <si>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</si>
  <si>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</si>
  <si>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</si>
  <si>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</si>
  <si>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</si>
  <si>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</si>
  <si>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</si>
  <si>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</si>
  <si>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</si>
  <si>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</si>
  <si>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</si>
  <si>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</si>
  <si>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</si>
  <si>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</si>
  <si>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</si>
  <si>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</si>
  <si>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</si>
  <si>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</si>
  <si>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</si>
  <si>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</si>
  <si>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</si>
  <si>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</si>
  <si>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</si>
  <si>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</si>
  <si>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</si>
  <si>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</si>
  <si>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</si>
  <si>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</si>
  <si>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</si>
  <si>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</si>
  <si>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</si>
  <si>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</si>
  <si>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</si>
  <si>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</si>
  <si>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</si>
  <si>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</si>
  <si>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</si>
  <si>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</si>
  <si>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</si>
  <si>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</si>
  <si>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</si>
  <si>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</si>
  <si>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</si>
  <si>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</si>
  <si>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</si>
  <si>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</si>
  <si>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</si>
  <si>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</si>
  <si>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</si>
  <si>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</si>
  <si>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</si>
  <si>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Каменский муниципальный район</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</si>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</sst>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189"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0" fillId="36" borderId="12" xfId="0" applyFont="1" applyFill="1" applyBorder="1">
      <alignment horizontal="left" vertical="center" wrapText="1" indent="2"/>
      <protection locked="0"/>
    </xf>
    <xf numFmtId="0" fontId="22" fillId="0" borderId="14" xfId="0" applyFont="1" applyBorder="1">
      <alignment vertical="center"/>
    </xf>
    <xf numFmtId="0" fontId="0" fillId="0" borderId="13" xfId="0" applyFont="1" applyBorder="1">
      <alignment vertical="center"/>
    </xf>
    <xf numFmtId="49" fontId="0" fillId="0" borderId="12" xfId="0" applyFont="1" applyBorder="1" applyNumberFormat="1">
      <alignment vertical="top"/>
    </xf>
    <xf numFmtId="49" fontId="31" fillId="47" borderId="0" xfId="0" applyFont="1" applyFill="1" applyNumberFormat="1">
      <alignment horizontal="center" vertical="center"/>
    </xf>
    <xf numFmtId="0" fontId="0" fillId="0" borderId="12" xfId="0" applyFont="1" applyBorder="1">
      <alignment vertical="center"/>
    </xf>
    <xf numFmtId="190" fontId="0" fillId="36" borderId="13" xfId="0" applyFont="1" applyFill="1" applyBorder="1" applyNumberFormat="1">
      <alignment horizontal="left" vertical="center" wrapText="1"/>
      <protection locked="0"/>
    </xf>
    <xf numFmtId="190" fontId="0" fillId="36" borderId="14" xfId="0" applyFont="1" applyFill="1" applyBorder="1" applyNumberFormat="1">
      <alignment horizontal="left" vertical="center" wrapText="1"/>
      <protection locked="0"/>
    </xf>
    <xf numFmtId="0" fontId="45" fillId="46" borderId="60" xfId="0" applyFont="1" applyFill="1" applyBorder="1">
      <alignment horizontal="right" vertical="center" wrapText="1" indent="1"/>
    </xf>
    <xf numFmtId="0" fontId="45" fillId="46" borderId="64" xfId="0" applyFont="1" applyFill="1" applyBorder="1">
      <alignment horizontal="right" vertical="center" wrapText="1" indent="1"/>
    </xf>
    <xf numFmtId="0" fontId="45" fillId="46" borderId="38" xfId="0" applyFont="1" applyFill="1" applyBorder="1">
      <alignment horizontal="right" vertical="center" wrapText="1" indent="1"/>
    </xf>
    <xf numFmtId="0" fontId="45" fillId="46" borderId="0" xfId="0" applyFont="1" applyFill="1">
      <alignment horizontal="right" vertical="center" wrapText="1" indent="1"/>
    </xf>
    <xf numFmtId="0" fontId="120" fillId="0" borderId="0" xfId="0" applyFont="1">
      <alignment vertical="center" wrapText="1"/>
    </xf>
    <xf numFmtId="0" fontId="45" fillId="46" borderId="65"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102" fillId="0" borderId="0" xfId="0" applyFont="1">
      <alignment vertical="center" wrapText="1"/>
    </xf>
    <xf numFmtId="0" fontId="102" fillId="0" borderId="0" xfId="0" applyFont="1">
      <alignment vertical="center"/>
    </xf>
    <xf numFmtId="0" fontId="45" fillId="57" borderId="66" xfId="0" applyFont="1" applyFill="1" applyBorder="1">
      <alignment horizontal="center" vertical="center" wrapText="1"/>
    </xf>
    <xf numFmtId="0" fontId="45" fillId="57" borderId="67" xfId="0" applyFont="1" applyFill="1" applyBorder="1">
      <alignment horizontal="center" vertical="center" wrapText="1"/>
    </xf>
    <xf numFmtId="0" fontId="45" fillId="57" borderId="68" xfId="0" applyFont="1" applyFill="1" applyBorder="1">
      <alignment horizontal="center" vertical="center" wrapText="1"/>
    </xf>
    <xf numFmtId="0" fontId="120" fillId="0" borderId="38" xfId="0" applyFont="1" applyBorder="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73" xfId="0" applyFont="1" applyBorder="1" applyNumberFormat="1">
      <alignment horizontal="center" vertical="center" wrapText="1"/>
    </xf>
    <xf numFmtId="0" fontId="22" fillId="0" borderId="73" xfId="0" applyFont="1" applyBorder="1">
      <alignment horizontal="center" vertical="center"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0" fillId="0" borderId="12" xfId="0" applyFont="1" applyBorder="1">
      <alignment horizontal="center" vertical="center" wrapText="1"/>
    </xf>
    <xf numFmtId="0" fontId="22" fillId="0" borderId="19" xfId="0" applyFont="1" applyBorder="1">
      <alignment horizontal="left" vertical="center" wrapText="1" inden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0" borderId="12" xfId="0" applyFont="1" applyBorder="1" applyNumberFormat="1">
      <alignment horizontal="center" vertical="center"/>
    </xf>
    <xf numFmtId="49" fontId="22" fillId="0" borderId="17" xfId="0" applyFont="1" applyBorder="1" applyNumberFormat="1">
      <alignment horizontal="center" vertical="center"/>
    </xf>
    <xf numFmtId="0" fontId="22" fillId="0" borderId="12" xfId="0" applyFont="1" applyBorder="1">
      <alignment horizontal="left" vertical="center" wrapText="1"/>
    </xf>
    <xf numFmtId="0" fontId="22" fillId="0" borderId="17" xfId="0" applyFont="1" applyBorder="1">
      <alignment horizontal="left" vertical="center" wrapText="1"/>
    </xf>
    <xf numFmtId="0" fontId="22" fillId="0" borderId="37"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22" fillId="0" borderId="19" xfId="0" applyFont="1" applyBorder="1">
      <alignment horizontal="center" vertical="center"/>
    </xf>
    <xf numFmtId="0" fontId="22" fillId="0" borderId="0" xfId="0" applyFont="1">
      <alignment horizontal="center" vertical="center"/>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0" borderId="14" xfId="0" applyFont="1" applyBorder="1">
      <alignment horizontal="left" vertical="center" wrapText="1"/>
    </xf>
    <xf numFmtId="0" fontId="22" fillId="0" borderId="27" xfId="0" applyFont="1" applyBorder="1">
      <alignment horizontal="left" vertical="center" wrapText="1" inden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22" fillId="0" borderId="19" xfId="0" applyFont="1" applyBorder="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23" xfId="0" applyFont="1" applyBorder="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0" fillId="35" borderId="12" xfId="0" applyFont="1" applyFill="1" applyBorder="1">
      <alignment horizontal="right" vertical="center" wrapText="1" indent="1"/>
    </xf>
    <xf numFmtId="190" fontId="22" fillId="34"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49" fontId="46" fillId="0" borderId="12" xfId="0" applyFont="1" applyBorder="1" applyNumberFormat="1">
      <alignment horizontal="center" vertical="center" wrapText="1"/>
    </xf>
    <xf numFmtId="190" fontId="46" fillId="0" borderId="12" xfId="0" applyFont="1" applyBorder="1" applyNumberFormat="1">
      <alignment horizontal="center" vertical="center" wrapText="1"/>
    </xf>
    <xf numFmtId="0" fontId="22" fillId="0" borderId="0" xfId="0" applyFont="1">
      <alignment horizontal="left" vertical="top" wrapText="1"/>
    </xf>
    <xf numFmtId="0" fontId="46" fillId="0" borderId="12" xfId="0" applyFont="1" applyBorder="1">
      <alignment horizontal="center" vertical="center"/>
    </xf>
    <xf numFmtId="0" fontId="46" fillId="0" borderId="14" xfId="0" applyFont="1" applyBorder="1">
      <alignment horizontal="center" vertical="center"/>
    </xf>
    <xf numFmtId="0" fontId="46" fillId="0" borderId="12" xfId="0" applyFont="1" applyBorder="1">
      <alignment horizontal="center" vertical="center" wrapText="1"/>
    </xf>
    <xf numFmtId="0" fontId="46" fillId="0" borderId="14" xfId="0" applyFont="1" applyBorder="1">
      <alignment horizontal="center" vertical="center"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22" fillId="0" borderId="17" xfId="0" applyFont="1" applyBorder="1">
      <alignment horizontal="center" vertical="center" wrapText="1"/>
    </xf>
    <xf numFmtId="0" fontId="22" fillId="0" borderId="23"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22" fillId="0" borderId="12" xfId="0" applyFont="1" applyBorder="1">
      <alignment horizontal="center" vertical="center"/>
    </xf>
    <xf numFmtId="0" fontId="22" fillId="0" borderId="14" xfId="0" applyFont="1" applyBorder="1">
      <alignment horizontal="center" vertical="center"/>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0" fillId="35" borderId="19" xfId="0" applyFont="1" applyFill="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0" borderId="19" xfId="0" applyFont="1" applyBorder="1">
      <alignment horizontal="left" vertical="center" wrapText="1" inden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22" fillId="0" borderId="22"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0" fontId="22" fillId="40" borderId="20" xfId="0" applyFont="1" applyFill="1" applyBorder="1">
      <alignment horizontal="left" vertical="center" wrapText="1"/>
    </xf>
    <xf numFmtId="49" fontId="22" fillId="0" borderId="12" xfId="0" applyFont="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36" fillId="0" borderId="12" xfId="0" applyFont="1" applyBorder="1">
      <alignment horizontal="center"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0" fontId="47" fillId="0" borderId="24" xfId="0" applyFont="1" applyBorder="1">
      <alignment horizontal="center" vertical="top" wrapText="1"/>
    </xf>
    <xf numFmtId="0" fontId="0" fillId="35" borderId="24"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49" fontId="22" fillId="40" borderId="12" xfId="0" applyFont="1" applyFill="1" applyBorder="1" applyNumberFormat="1">
      <alignment horizontal="left" vertical="center" wrapText="1" indent="1"/>
    </xf>
    <xf numFmtId="0" fontId="0" fillId="35" borderId="14" xfId="0" applyFont="1" applyFill="1" applyBorder="1">
      <alignment horizontal="right" vertical="center" wrapText="1" indent="1"/>
    </xf>
    <xf numFmtId="0" fontId="0" fillId="35" borderId="13" xfId="0" applyFont="1" applyFill="1" applyBorder="1">
      <alignment horizontal="right" vertical="center" wrapText="1" indent="1"/>
    </xf>
    <xf numFmtId="0" fontId="22" fillId="39" borderId="13" xfId="0" applyFont="1" applyFill="1" applyBorder="1">
      <alignment horizontal="center" vertical="center" wrapText="1"/>
      <protection locked="0"/>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44" fillId="0" borderId="12" xfId="0" applyFont="1" applyBorder="1">
      <alignment horizontal="left" vertical="top"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0" fontId="47" fillId="0" borderId="19" xfId="0" applyFont="1" applyBorder="1">
      <alignment horizontal="left" vertical="center" wrapText="1"/>
    </xf>
    <xf numFmtId="0" fontId="22" fillId="0" borderId="12" xfId="0" applyFont="1" applyBorder="1">
      <alignment horizontal="center" vertical="center" wrapText="1"/>
    </xf>
    <xf numFmtId="49" fontId="22" fillId="35" borderId="12" xfId="59" applyFont="1" applyFill="1" applyBorder="1" applyNumberFormat="1">
      <alignment horizontal="center"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23" xfId="0" applyFont="1" applyBorder="1">
      <alignment horizontal="left" vertical="center" wrapText="1"/>
    </xf>
    <xf numFmtId="0" fontId="47" fillId="0" borderId="0" xfId="0" applyFont="1">
      <alignment horizontal="center" vertical="center" wrapText="1"/>
    </xf>
    <xf numFmtId="0" fontId="4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22" fillId="58" borderId="0" xfId="0" applyFont="1" applyFill="1" applyNumberFormat="1">
      <alignment horizontal="center" vertical="center" textRotation="90" wrapText="1"/>
    </xf>
    <xf numFmtId="49" fontId="22" fillId="0" borderId="0" xfId="0" applyFont="1" applyNumberFormat="1">
      <alignment vertical="center" wrapText="1"/>
    </xf>
    <xf numFmtId="0" fontId="35" fillId="0" borderId="24" xfId="0" applyFont="1" applyBorder="1">
      <alignment horizontal="center"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0" fillId="0" borderId="12" xfId="0" applyFont="1" applyBorder="1" applyNumberFormat="1">
      <alignment horizontal="center"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0" borderId="12" xfId="0" applyFont="1" applyBorder="1">
      <alignment horizontal="left" vertical="center" wrapText="1" indent="1"/>
    </xf>
    <xf numFmtId="0" fontId="0" fillId="0" borderId="12" xfId="0" applyFont="1" applyBorder="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4" xfId="0" applyFont="1" applyBorder="1">
      <alignment horizontal="center" vertical="center"/>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0" fontId="22" fillId="35" borderId="29" xfId="0" applyFont="1" applyFill="1" applyBorder="1">
      <alignment horizontal="center" vertical="center"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1" borderId="13" xfId="0" applyFont="1" applyFill="1" applyBorder="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49" fontId="46" fillId="0" borderId="12" xfId="0" applyFont="1" applyBorder="1" applyNumberFormat="1">
      <alignment horizontal="left" vertical="center" wrapText="1"/>
    </xf>
    <xf numFmtId="49" fontId="123" fillId="0" borderId="12" xfId="0" applyFont="1" applyBorder="1" applyNumberFormat="1">
      <alignment horizontal="center" vertical="center" wrapText="1"/>
    </xf>
    <xf numFmtId="0" fontId="44"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0" fontId="0" fillId="0" borderId="12" xfId="0" applyFont="1" applyBorder="1">
      <alignment horizontal="center" vertical="center"/>
    </xf>
    <xf numFmtId="49" fontId="0" fillId="0" borderId="12" xfId="0" applyFont="1" applyBorder="1" applyNumberFormat="1">
      <alignment vertical="top"/>
    </xf>
    <xf numFmtId="49" fontId="22" fillId="39" borderId="12" xfId="0" applyFont="1" applyFill="1" applyBorder="1" applyNumberFormat="1">
      <alignment horizontal="left" vertical="top" wrapText="1"/>
      <protection locked="0"/>
    </xf>
    <xf numFmtId="49" fontId="22" fillId="0" borderId="13" xfId="0" applyFont="1" applyBorder="1" applyNumberFormat="1">
      <alignment horizontal="center" vertical="center" wrapText="1"/>
    </xf>
    <xf numFmtId="0" fontId="22" fillId="36" borderId="12" xfId="0" applyFont="1" applyFill="1" applyBorder="1">
      <alignment horizontal="left" vertical="top" wrapText="1"/>
      <protection locked="0"/>
    </xf>
    <xf numFmtId="49" fontId="0" fillId="39" borderId="12" xfId="0" applyFont="1" applyFill="1" applyBorder="1" applyNumberFormat="1">
      <alignment horizontal="left" vertical="center" wrapText="1"/>
      <protection locked="0"/>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49" fontId="22" fillId="36" borderId="12" xfId="0" applyFont="1" applyFill="1" applyBorder="1" applyNumberFormat="1">
      <alignment horizontal="left" vertical="center" wrapText="1"/>
      <protection locked="0"/>
    </xf>
    <xf numFmtId="49" fontId="0" fillId="36" borderId="12" xfId="0" applyFont="1" applyFill="1" applyBorder="1" applyNumberFormat="1">
      <alignment horizontal="left" vertical="top"/>
      <protection locked="0"/>
    </xf>
    <xf numFmtId="0" fontId="0" fillId="0" borderId="19" xfId="0" applyFont="1" applyBorder="1">
      <alignment horizontal="center" vertical="center"/>
    </xf>
    <xf numFmtId="0" fontId="0" fillId="0" borderId="0" xfId="0" applyFont="1">
      <alignment horizontal="center" vertical="center"/>
    </xf>
    <xf numFmtId="49" fontId="0" fillId="0" borderId="19" xfId="0" applyFont="1" applyBorder="1" applyNumberFormat="1">
      <alignment horizontal="left" vertical="center" wrapText="1"/>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49" fontId="22" fillId="0" borderId="36" xfId="0" applyFont="1" applyBorder="1" applyNumberFormat="1">
      <alignment horizontal="center" vertical="center"/>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2" xfId="0" applyFont="1" applyFill="1" applyBorder="1" applyNumberFormat="1">
      <alignment horizontal="left" vertical="center" wrapText="1"/>
      <protection locked="0"/>
    </xf>
    <xf numFmtId="49" fontId="22" fillId="39" borderId="17" xfId="0" applyFont="1" applyFill="1" applyBorder="1" applyNumberFormat="1">
      <alignment horizontal="left" vertical="center" wrapText="1"/>
      <protection locked="0"/>
    </xf>
    <xf numFmtId="49" fontId="22" fillId="40" borderId="13"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4" fillId="0" borderId="13"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0" fontId="22" fillId="0" borderId="0" xfId="0" applyFont="1">
      <alignment horizontal="right" vertical="center" wrapText="1"/>
    </xf>
    <xf numFmtId="0" fontId="45" fillId="0" borderId="19" xfId="0" applyFont="1" applyBorder="1">
      <alignment horizontal="left" vertical="center" wrapText="1" indent="1"/>
    </xf>
    <xf numFmtId="0" fontId="45" fillId="0" borderId="27" xfId="0" applyFont="1" applyBorder="1">
      <alignment horizontal="left" vertical="center" wrapText="1" indent="1"/>
    </xf>
    <xf numFmtId="190" fontId="0" fillId="39" borderId="12" xfId="0" applyFont="1" applyFill="1" applyBorder="1" applyNumberFormat="1">
      <alignment horizontal="center"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5" borderId="17" xfId="0" applyFont="1" applyFill="1" applyBorder="1" applyNumberFormat="1">
      <alignment horizontal="left" vertical="center" wrapText="1" indent="1"/>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nevcomsets@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05538-68E8-E428-E268-D9CD2BEC385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33" width="5.421875" customWidth="1"/>
    <col min="2" max="2" style="2833" width="9.140625" customWidth="1"/>
    <col min="3" max="3" style="2833" width="16.421875" customWidth="1"/>
    <col min="4" max="25" style="2833" width="6.28125" customWidth="1"/>
    <col min="26" max="28" style="2833"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110" t="s">
        <v>1</v>
      </c>
      <c r="C2" s="2110"/>
      <c r="D2" s="2110"/>
      <c r="E2" s="2110"/>
      <c r="F2" s="2110"/>
      <c r="G2" s="2110"/>
      <c r="H2" s="2110"/>
      <c r="I2" s="2110"/>
      <c r="J2" s="2110"/>
      <c r="K2" s="2110"/>
      <c r="L2" s="2110"/>
      <c r="M2" s="2110"/>
      <c r="N2" s="2110"/>
      <c r="O2" s="2110"/>
      <c r="P2" s="2110"/>
      <c r="Q2" s="1706"/>
      <c r="R2" s="1706"/>
      <c r="S2" s="1706"/>
      <c r="T2" s="1706"/>
      <c r="U2" s="1706"/>
      <c r="V2" s="1707"/>
      <c r="W2" s="1706"/>
      <c r="X2" s="1706"/>
      <c r="Y2" s="1703"/>
      <c r="Z2" s="1702"/>
      <c r="AA2" s="1704"/>
      <c r="AB2" s="1702"/>
    </row>
    <row customHeight="1" ht="15.75">
      <c r="A3" s="1702"/>
      <c r="B3" s="2111" t="s">
        <v>2</v>
      </c>
      <c r="C3" s="2111"/>
      <c r="D3" s="2111"/>
      <c r="E3" s="2111"/>
      <c r="F3" s="2111"/>
      <c r="G3" s="2111"/>
      <c r="H3" s="2111"/>
      <c r="I3" s="2111"/>
      <c r="J3" s="2111"/>
      <c r="K3" s="2111"/>
      <c r="L3" s="2111"/>
      <c r="M3" s="2111"/>
      <c r="N3" s="2111"/>
      <c r="O3" s="2111"/>
      <c r="P3" s="2111"/>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112" t="str">
        <f>IF(TEMPLATE_SPHERE="","Информация, подлежащая раскрытию регулируемыми организациями",Титульный!E5)</f>
        <v>Информация об инвестиционных программах регулируемой организации в области холодного водоснабжения</v>
      </c>
      <c r="C5" s="2113"/>
      <c r="D5" s="2113"/>
      <c r="E5" s="2113"/>
      <c r="F5" s="2113"/>
      <c r="G5" s="2113"/>
      <c r="H5" s="2113"/>
      <c r="I5" s="2113"/>
      <c r="J5" s="2113"/>
      <c r="K5" s="2113"/>
      <c r="L5" s="2113"/>
      <c r="M5" s="2113"/>
      <c r="N5" s="2113"/>
      <c r="O5" s="2113"/>
      <c r="P5" s="2113"/>
      <c r="Q5" s="2113"/>
      <c r="R5" s="2113"/>
      <c r="S5" s="2113"/>
      <c r="T5" s="2113"/>
      <c r="U5" s="2113"/>
      <c r="V5" s="2113"/>
      <c r="W5" s="2113"/>
      <c r="X5" s="2113"/>
      <c r="Y5" s="2114"/>
      <c r="Z5" s="1709"/>
      <c r="AA5" s="1704"/>
      <c r="AB5" s="1709"/>
    </row>
    <row customHeight="1" ht="15">
      <c r="A6" s="1710"/>
      <c r="B6" s="2102" t="s">
        <v>3</v>
      </c>
      <c r="C6" s="2105"/>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102"/>
      <c r="C7" s="2105"/>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102"/>
      <c r="C8" s="2105"/>
      <c r="D8" s="1716"/>
      <c r="E8" s="1717" t="s">
        <v>4</v>
      </c>
      <c r="F8" s="2115" t="s">
        <v>5</v>
      </c>
      <c r="G8" s="2104"/>
      <c r="H8" s="2104"/>
      <c r="I8" s="2104"/>
      <c r="J8" s="2104"/>
      <c r="K8" s="2104"/>
      <c r="L8" s="2104"/>
      <c r="M8" s="2104"/>
      <c r="N8" s="1716"/>
      <c r="O8" s="1718" t="s">
        <v>4</v>
      </c>
      <c r="P8" s="2116" t="s">
        <v>6</v>
      </c>
      <c r="Q8" s="2117"/>
      <c r="R8" s="2117"/>
      <c r="S8" s="2117"/>
      <c r="T8" s="2117"/>
      <c r="U8" s="2117"/>
      <c r="V8" s="2117"/>
      <c r="W8" s="2117"/>
      <c r="X8" s="2117"/>
      <c r="Y8" s="1712"/>
      <c r="Z8" s="1713"/>
      <c r="AA8" s="1714"/>
      <c r="AB8" s="1714"/>
    </row>
    <row customHeight="1" ht="15">
      <c r="A9" s="1710"/>
      <c r="B9" s="2102"/>
      <c r="C9" s="2105"/>
      <c r="D9" s="1716"/>
      <c r="E9" s="1719" t="s">
        <v>4</v>
      </c>
      <c r="F9" s="2115" t="s">
        <v>7</v>
      </c>
      <c r="G9" s="2104"/>
      <c r="H9" s="2104"/>
      <c r="I9" s="2104"/>
      <c r="J9" s="2104"/>
      <c r="K9" s="2104"/>
      <c r="L9" s="2104"/>
      <c r="M9" s="2104"/>
      <c r="N9" s="1716"/>
      <c r="O9" s="1720" t="s">
        <v>4</v>
      </c>
      <c r="P9" s="2116" t="s">
        <v>8</v>
      </c>
      <c r="Q9" s="2117"/>
      <c r="R9" s="2117"/>
      <c r="S9" s="2117"/>
      <c r="T9" s="2117"/>
      <c r="U9" s="2117"/>
      <c r="V9" s="2117"/>
      <c r="W9" s="2117"/>
      <c r="X9" s="2117"/>
      <c r="Y9" s="1712"/>
      <c r="Z9" s="1713"/>
      <c r="AA9" s="1714"/>
      <c r="AB9" s="1714"/>
    </row>
    <row customHeight="1" ht="30">
      <c r="A10" s="1710"/>
      <c r="B10" s="2102"/>
      <c r="C10" s="2103"/>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100" t="s">
        <v>9</v>
      </c>
      <c r="C11" s="210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102"/>
      <c r="C12" s="2103"/>
      <c r="D12" s="1724"/>
      <c r="E12" s="2104" t="s">
        <v>10</v>
      </c>
      <c r="F12" s="2104"/>
      <c r="G12" s="2104"/>
      <c r="H12" s="2104"/>
      <c r="I12" s="2104"/>
      <c r="J12" s="2104"/>
      <c r="K12" s="2104"/>
      <c r="L12" s="2104"/>
      <c r="M12" s="2104"/>
      <c r="N12" s="2104"/>
      <c r="O12" s="2104"/>
      <c r="P12" s="2104"/>
      <c r="Q12" s="2104"/>
      <c r="R12" s="2104"/>
      <c r="S12" s="2104"/>
      <c r="T12" s="2104"/>
      <c r="U12" s="2104"/>
      <c r="V12" s="2104"/>
      <c r="W12" s="2104"/>
      <c r="X12" s="2104"/>
      <c r="Y12" s="1712"/>
      <c r="Z12" s="1713"/>
      <c r="AA12" s="1714"/>
      <c r="AB12" s="1714"/>
    </row>
    <row customHeight="1" ht="15">
      <c r="A13" s="1710"/>
      <c r="B13" s="2100" t="s">
        <v>11</v>
      </c>
      <c r="C13" s="210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102"/>
      <c r="C14" s="2105"/>
      <c r="D14" s="1716"/>
      <c r="E14" s="2108" t="s">
        <v>12</v>
      </c>
      <c r="F14" s="2108"/>
      <c r="G14" s="2108"/>
      <c r="H14" s="2108"/>
      <c r="I14" s="2108"/>
      <c r="J14" s="2108"/>
      <c r="K14" s="2108"/>
      <c r="L14" s="2108"/>
      <c r="M14" s="2108"/>
      <c r="N14" s="2108"/>
      <c r="O14" s="2108"/>
      <c r="P14" s="2108"/>
      <c r="Q14" s="2108"/>
      <c r="R14" s="2108"/>
      <c r="S14" s="2108"/>
      <c r="T14" s="2108"/>
      <c r="U14" s="2108"/>
      <c r="V14" s="2108"/>
      <c r="W14" s="2108"/>
      <c r="X14" s="2108"/>
      <c r="Y14" s="1712"/>
      <c r="Z14" s="1713"/>
      <c r="AA14" s="1714"/>
      <c r="AB14" s="1714"/>
    </row>
    <row customHeight="1" ht="16.5">
      <c r="A15" s="1710"/>
      <c r="B15" s="2106"/>
      <c r="C15" s="2107"/>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108"/>
      <c r="C16" s="2109"/>
      <c r="D16" s="2109"/>
      <c r="E16" s="2109"/>
      <c r="F16" s="2109"/>
      <c r="G16" s="2109"/>
      <c r="H16" s="2109"/>
      <c r="I16" s="2109"/>
      <c r="J16" s="2109"/>
      <c r="K16" s="2109"/>
      <c r="L16" s="2109"/>
      <c r="M16" s="2109"/>
      <c r="N16" s="2109"/>
      <c r="O16" s="2109"/>
      <c r="P16" s="2109"/>
      <c r="Q16" s="2109"/>
      <c r="R16" s="2109"/>
      <c r="S16" s="2109"/>
      <c r="T16" s="2109"/>
      <c r="U16" s="2109"/>
      <c r="V16" s="2109"/>
      <c r="W16" s="2109"/>
      <c r="X16" s="2109"/>
      <c r="Y16" s="2109"/>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30E19B4-AAC8-FBF1-9A38-411087A72978}" mc:Ignorable="x14ac xr xr2 xr3">
  <sheetPr>
    <tabColor rgb="FFCCCCFF"/>
  </sheetPr>
  <dimension ref="A1:Q79"/>
  <sheetViews>
    <sheetView topLeftCell="C30" showGridLines="0" zoomScale="90" workbookViewId="0">
      <selection activeCell="F71" sqref="F71"/>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38"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1" t="str">
        <f>code</f>
        <v>Код отчёта: PP108.OPEN.INFO.INVEST.COLDVSNA.EIAS</v>
      </c>
      <c r="F2" s="271"/>
      <c r="G2" s="247"/>
      <c r="H2" s="247"/>
      <c r="I2" s="247"/>
      <c r="J2" s="874"/>
      <c r="K2" s="247"/>
      <c r="Q2" s="73">
        <v>14</v>
      </c>
    </row>
    <row customHeight="1" ht="14.699999999999998">
      <c r="E3" s="248" t="str">
        <f>version</f>
        <v>Версия отчёта: 1.1.6</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118" t="str">
        <f>NameTemplatesInTitle</f>
        <v>Информация об инвестиционных программах регулируемой организации в области холодного водоснабжения</v>
      </c>
      <c r="F5" s="2119"/>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0"/>
      <c r="G9" s="774"/>
      <c r="I9" s="1899"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5" t="s">
        <v>19</v>
      </c>
      <c r="G10" s="79"/>
      <c r="H10" s="411"/>
      <c r="I10" s="413"/>
      <c r="J10" s="879"/>
      <c r="Q10" s="432">
        <v>24</v>
      </c>
    </row>
    <row customHeight="1" ht="22.5" hidden="1">
      <c r="A11" s="2121" t="s">
        <v>20</v>
      </c>
      <c r="D11" s="77"/>
      <c r="E11" s="1167" t="s">
        <v>21</v>
      </c>
      <c r="F11" s="1733" t="s">
        <v>22</v>
      </c>
      <c r="G11" s="79"/>
      <c r="H11" s="775" t="s">
        <v>23</v>
      </c>
      <c r="J11" s="878" t="s">
        <v>24</v>
      </c>
      <c r="Q11" s="76">
        <v>0</v>
      </c>
    </row>
    <row customHeight="1" ht="22.5" hidden="1">
      <c r="A12" s="2121"/>
      <c r="D12" s="77"/>
      <c r="E12" s="1167" t="s">
        <v>25</v>
      </c>
      <c r="F12" s="1733"/>
      <c r="G12" s="75"/>
      <c r="J12" s="878" t="s">
        <v>26</v>
      </c>
      <c r="Q12" s="76">
        <v>0</v>
      </c>
    </row>
    <row s="1637" customFormat="1" customHeight="1" ht="22.5" hidden="1">
      <c r="A13" s="790" t="s">
        <v>27</v>
      </c>
      <c r="B13" s="100"/>
      <c r="C13" s="410"/>
      <c r="D13" s="412"/>
      <c r="E13" s="1776" t="s">
        <v>28</v>
      </c>
      <c r="F13" s="1733" t="s">
        <v>22</v>
      </c>
      <c r="G13" s="79"/>
      <c r="H13" s="772"/>
      <c r="I13" s="413"/>
      <c r="J13" s="1777" t="s">
        <v>29</v>
      </c>
      <c r="Q13" s="411">
        <v>0</v>
      </c>
    </row>
    <row s="1637" customFormat="1" customHeight="1" ht="27">
      <c r="A14" s="790" t="s">
        <v>30</v>
      </c>
      <c r="B14" s="100"/>
      <c r="C14" s="410"/>
      <c r="D14" s="412"/>
      <c r="E14" s="1167" t="s">
        <v>31</v>
      </c>
      <c r="F14" s="1768">
        <v>2026</v>
      </c>
      <c r="G14" s="79"/>
      <c r="H14" s="772"/>
      <c r="I14" s="413"/>
      <c r="J14" s="878" t="s">
        <v>32</v>
      </c>
      <c r="Q14" s="411">
        <v>0</v>
      </c>
    </row>
    <row s="1637" customFormat="1" customHeight="1" ht="19.5" hidden="1">
      <c r="A15" s="790" t="s">
        <v>33</v>
      </c>
      <c r="B15" s="100"/>
      <c r="C15" s="410"/>
      <c r="D15" s="412"/>
      <c r="E15" s="1167" t="s">
        <v>34</v>
      </c>
      <c r="F15" s="1768"/>
      <c r="G15" s="79"/>
      <c r="H15" s="772"/>
      <c r="I15" s="413"/>
      <c r="J15" s="878" t="s">
        <v>35</v>
      </c>
      <c r="Q15" s="411">
        <v>0</v>
      </c>
    </row>
    <row s="1637" customFormat="1" customHeight="1" ht="19.5" hidden="1">
      <c r="A16" s="786"/>
      <c r="B16" s="100"/>
      <c r="C16" s="410"/>
      <c r="D16" s="412"/>
      <c r="E16" s="1167" t="s">
        <v>36</v>
      </c>
      <c r="F16" s="1212"/>
      <c r="G16" s="459"/>
      <c r="H16" s="775" t="s">
        <v>23</v>
      </c>
      <c r="I16" s="413"/>
      <c r="J16" s="878"/>
      <c r="Q16" s="411">
        <v>20</v>
      </c>
    </row>
    <row customHeight="1" ht="21">
      <c r="D17" s="77"/>
      <c r="E17" s="393" t="s">
        <v>37</v>
      </c>
      <c r="F17" s="2564" t="s">
        <v>38</v>
      </c>
      <c r="G17" s="75"/>
      <c r="H17" s="775" t="s">
        <v>23</v>
      </c>
      <c r="Q17" s="76">
        <v>20</v>
      </c>
    </row>
    <row customHeight="1" ht="25.5">
      <c r="D18" s="77"/>
      <c r="E18" s="1776" t="s">
        <v>39</v>
      </c>
      <c r="F18" s="2654">
        <v>46241</v>
      </c>
      <c r="G18" s="75"/>
      <c r="I18" s="776"/>
      <c r="J18" s="2120"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5"/>
      <c r="I19" s="776"/>
      <c r="J19" s="2120"/>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3"/>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4"/>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87"/>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5"/>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t="s">
        <v>65</v>
      </c>
      <c r="G59" s="534"/>
      <c r="I59" s="536"/>
      <c r="J59" s="880"/>
      <c r="P59" s="537"/>
      <c r="Q59" s="535">
        <v>0</v>
      </c>
    </row>
    <row s="1637" customFormat="1" customHeight="1" ht="15">
      <c r="A60" s="788"/>
      <c r="B60" s="415"/>
      <c r="C60" s="532"/>
      <c r="D60" s="533"/>
      <c r="E60" s="1167" t="s">
        <v>66</v>
      </c>
      <c r="F60" s="1212" t="s">
        <v>67</v>
      </c>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2"/>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55"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4">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s>
  <hyperlinks>
    <hyperlink ref="H11" location="Титульный!H9" display="Как заполнить?" tooltip="Помощь по работе с полями отчётной формы" xr:uid="{908C4598-0918-3258-02E8-636BD1BADEB8}"/>
    <hyperlink ref="H16" location="Титульный!H9" display="Как заполнить?" tooltip="Помощь по работе с полями отчётной формы" xr:uid="{ADD5F8A8-A9D8-C904-A509-70D15E9DD8E8}"/>
    <hyperlink ref="H17" location="Титульный!H9" display="Как заполнить?" tooltip="Помощь по работе с полями отчётной формы" xr:uid="{5DD879B8-0798-BC36-9338-0CBC1FFB5FA8}"/>
    <hyperlink ref="H39" location="Титульный!H9" display="Как заполнить?" tooltip="Помощь по работе с полями отчётной формы" xr:uid="{9C63E5F7-A1A8-8763-A0E8-8B9AC4133688}"/>
    <hyperlink ref="H62" location="Титульный!H9" display="Как заполнить?" tooltip="Помощь по работе с полями отчётной формы" xr:uid="{1C2CA2E8-9708-8CBF-08AE-9885CCCAD7A8}"/>
    <hyperlink ref="F70" r:id="rId4" xr:uid="{0EEF9A18-B6A3-660D-9858-A4BA544B460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A8158-C0FD-A911-2D93-92602880B9A5}"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1"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0" customFormat="1" customHeight="1" ht="3">
      <c r="A3" s="760"/>
      <c r="B3" s="419"/>
      <c r="C3" s="760"/>
      <c r="D3" s="166"/>
      <c r="E3" s="105"/>
      <c r="F3" s="511"/>
      <c r="G3" s="105"/>
      <c r="H3" s="105"/>
      <c r="I3" s="168"/>
      <c r="J3" s="249"/>
      <c r="K3" s="157"/>
      <c r="L3" s="157"/>
      <c r="M3" s="157"/>
      <c r="N3" s="228"/>
      <c r="O3" s="157"/>
      <c r="P3" s="227"/>
      <c r="Q3" s="227"/>
      <c r="R3" s="227"/>
      <c r="S3" s="227"/>
      <c r="AC3" s="118">
        <v>3</v>
      </c>
    </row>
    <row s="1820" customFormat="1" customHeight="1" ht="27.299999999999997">
      <c r="A4" s="760"/>
      <c r="B4" s="419"/>
      <c r="C4" s="760"/>
      <c r="D4" s="166"/>
      <c r="E4" s="2123" t="str">
        <f>NameTemplatesInListMO</f>
        <v>Перечень муниципальных районов и муниципальных образований (территорий оказания услуг)</v>
      </c>
      <c r="F4" s="2123"/>
      <c r="G4" s="2123"/>
      <c r="H4" s="2123"/>
      <c r="I4" s="2123"/>
      <c r="J4" s="249"/>
      <c r="K4" s="157"/>
      <c r="L4" s="157"/>
      <c r="M4" s="157"/>
      <c r="N4" s="228"/>
      <c r="O4" s="157"/>
      <c r="P4" s="227"/>
      <c r="Q4" s="227"/>
      <c r="R4" s="227"/>
      <c r="S4" s="227"/>
      <c r="AC4" s="118">
        <v>26</v>
      </c>
    </row>
    <row s="1820" customFormat="1" customHeight="1" ht="3">
      <c r="A5" s="760"/>
      <c r="B5" s="419"/>
      <c r="C5" s="760"/>
      <c r="D5" s="166"/>
      <c r="E5" s="105"/>
      <c r="F5" s="511"/>
      <c r="G5" s="169"/>
      <c r="H5" s="169"/>
      <c r="I5" s="170"/>
      <c r="J5" s="157"/>
      <c r="K5" s="157"/>
      <c r="L5" s="157"/>
      <c r="M5" s="157"/>
      <c r="N5" s="228"/>
      <c r="O5" s="157"/>
      <c r="P5" s="227"/>
      <c r="Q5" s="227"/>
      <c r="R5" s="227"/>
      <c r="S5" s="227"/>
      <c r="AC5" s="118">
        <v>3</v>
      </c>
    </row>
    <row s="1820"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0" customFormat="1" customHeight="1" ht="14.699999999999998">
      <c r="A8" s="760"/>
      <c r="B8" s="419"/>
      <c r="C8" s="760"/>
      <c r="D8" s="166"/>
      <c r="E8" s="2124" t="s">
        <v>86</v>
      </c>
      <c r="F8" s="2125"/>
      <c r="G8" s="2126"/>
      <c r="H8" s="2127" t="s">
        <v>87</v>
      </c>
      <c r="I8" s="2127"/>
      <c r="J8" s="157"/>
      <c r="K8" s="157"/>
      <c r="L8" s="157"/>
      <c r="M8" s="157"/>
      <c r="N8" s="228"/>
      <c r="O8" s="157"/>
      <c r="P8" s="227"/>
      <c r="Q8" s="227"/>
      <c r="R8" s="227"/>
      <c r="S8" s="227"/>
      <c r="AC8" s="118">
        <v>14</v>
      </c>
    </row>
    <row s="1820"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0"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0" customFormat="1" customHeight="1" ht="15">
      <c r="A12" s="2122">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49" customFormat="1" customHeight="1" ht="15.75">
      <c r="A13" s="2122"/>
      <c r="B13" s="419">
        <v>1</v>
      </c>
      <c r="C13" s="419"/>
      <c r="D13" s="802"/>
      <c r="E13" s="782" t="str">
        <f>A12&amp;"."&amp;B13</f>
        <v>1.1</v>
      </c>
      <c r="F13" s="797">
        <v>1</v>
      </c>
      <c r="G13" s="795"/>
      <c r="H13" s="795"/>
      <c r="I13" s="793"/>
      <c r="J13" s="502">
        <f>MERGEVALUE(G13)</f>
      </c>
      <c r="K13" s="513"/>
      <c r="L13" s="513"/>
      <c r="M13" s="502" t="str">
        <f t="array" ref="M13:M13">IF(ISERROR(MATCH(MID(N13,1,250),MID(note_ter,1,250),0)),"n","y")</f>
        <v>n</v>
      </c>
      <c r="N13" s="513"/>
      <c r="O13" s="502" t="str">
        <f>H13&amp;"("&amp;I13&amp;")"</f>
        <v>()</v>
      </c>
      <c r="P13" s="419"/>
      <c r="Q13" s="419"/>
      <c r="R13" s="422"/>
      <c r="S13" s="419"/>
      <c r="T13" s="419"/>
      <c r="U13" s="419"/>
      <c r="V13" s="424"/>
      <c r="W13" s="424"/>
      <c r="X13" s="421"/>
      <c r="Y13" s="421"/>
      <c r="Z13" s="421"/>
      <c r="AA13" s="421"/>
      <c r="AB13" s="421"/>
      <c r="AC13" s="425">
        <v>15</v>
      </c>
    </row>
    <row s="1849" customFormat="1" customHeight="1" ht="15.75">
      <c r="A14" s="2122"/>
      <c r="B14" s="419"/>
      <c r="C14" s="414"/>
      <c r="D14" s="803"/>
      <c r="E14" s="423"/>
      <c r="F14" s="179"/>
      <c r="G14" s="417" t="s">
        <v>99</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0" customFormat="1" customHeight="1" ht="14.699999999999998">
      <c r="A15" s="760"/>
      <c r="B15" s="419"/>
      <c r="C15" s="760"/>
      <c r="D15" s="784"/>
      <c r="E15" s="796"/>
      <c r="F15" s="180"/>
      <c r="G15" s="418" t="s">
        <v>100</v>
      </c>
      <c r="H15" s="180"/>
      <c r="I15" s="181"/>
      <c r="J15" s="251"/>
      <c r="K15" s="157"/>
      <c r="L15" s="157"/>
      <c r="M15" s="157"/>
      <c r="N15" s="228" t="s">
        <v>101</v>
      </c>
      <c r="O15" s="157"/>
      <c r="P15" s="227"/>
      <c r="Q15" s="227"/>
      <c r="R15" s="227"/>
      <c r="S15" s="227"/>
      <c r="AC15" s="118">
        <v>14</v>
      </c>
    </row>
    <row s="1820"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0"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0"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1827D-4D8C-3408-DC98-A8AC2B04879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2" width="6.421875" hidden="1" customWidth="1"/>
    <col min="2" max="2" style="1852" width="2.00390625" hidden="1" customWidth="1"/>
    <col min="3" max="3" style="1852" width="3.00390625" customWidth="1"/>
    <col min="4" max="4" style="1852" width="4.00390625" customWidth="1"/>
    <col min="5" max="5" style="1852" width="44.00390625" customWidth="1"/>
    <col min="6" max="6" style="1852" width="6.421875" customWidth="1"/>
    <col min="7" max="7" style="1852" width="4.00390625" customWidth="1"/>
    <col min="8" max="8" style="1852" width="5.00390625" customWidth="1"/>
    <col min="9" max="9" style="1852" width="52.00390625" customWidth="1"/>
    <col min="10" max="10" style="1852" width="7.00390625" customWidth="1"/>
    <col min="11" max="11" style="1852" width="3.00390625" customWidth="1"/>
    <col min="12" max="12" style="1852" width="6.00390625" customWidth="1"/>
    <col min="13" max="13" style="1852"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2"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32" t="str">
        <f>Титульный!E5</f>
        <v>Информация об инвестиционных программах регулируемой организации в области холодного водоснабжения</v>
      </c>
      <c r="E4" s="2133"/>
      <c r="F4" s="2133"/>
      <c r="G4" s="2133"/>
      <c r="H4" s="2133"/>
      <c r="I4" s="2134"/>
      <c r="J4" s="586"/>
      <c r="K4" s="586"/>
      <c r="L4" s="586"/>
      <c r="M4" s="586"/>
      <c r="AM4" s="585">
        <v>34</v>
      </c>
    </row>
    <row s="591" customFormat="1" customHeight="1" ht="14.699999999999998">
      <c r="A5" s="587"/>
      <c r="B5" s="587"/>
      <c r="C5" s="587"/>
      <c r="D5" s="2135" t="str">
        <f>IF(org=0,"Не определено",org)</f>
        <v>Муниципальное унитарное предприятие "Невельские коммунальные сети"</v>
      </c>
      <c r="E5" s="2136"/>
      <c r="F5" s="2136"/>
      <c r="G5" s="2136"/>
      <c r="H5" s="2136"/>
      <c r="I5" s="2137"/>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38"/>
      <c r="B6" s="2138"/>
      <c r="C6" s="2138"/>
      <c r="D6" s="2138"/>
      <c r="E6" s="2138"/>
      <c r="F6" s="2138"/>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4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4"/>
      <c r="G7" s="2144"/>
      <c r="H7" s="2144"/>
      <c r="I7" s="2144"/>
      <c r="J7" s="2144"/>
      <c r="K7" s="2144"/>
      <c r="L7" s="2144"/>
      <c r="M7" s="2144"/>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39"/>
      <c r="B9" s="325"/>
      <c r="C9" s="325"/>
      <c r="D9" s="2140" t="s">
        <v>102</v>
      </c>
      <c r="E9" s="2140"/>
      <c r="F9" s="2141" t="s">
        <v>103</v>
      </c>
      <c r="G9" s="2142"/>
      <c r="H9" s="2142"/>
      <c r="I9" s="2142"/>
      <c r="J9" s="2145" t="s">
        <v>104</v>
      </c>
      <c r="K9" s="2145"/>
      <c r="L9" s="2145"/>
      <c r="M9" s="2145"/>
      <c r="AM9" s="585">
        <v>18</v>
      </c>
    </row>
    <row customHeight="1" ht="24">
      <c r="A10" s="2139"/>
      <c r="B10" s="594"/>
      <c r="C10" s="527"/>
      <c r="D10" s="525" t="s">
        <v>88</v>
      </c>
      <c r="E10" s="525" t="s">
        <v>89</v>
      </c>
      <c r="F10" s="525" t="s">
        <v>105</v>
      </c>
      <c r="G10" s="2146" t="s">
        <v>88</v>
      </c>
      <c r="H10" s="2147"/>
      <c r="I10" s="525" t="s">
        <v>89</v>
      </c>
      <c r="J10" s="525" t="s">
        <v>105</v>
      </c>
      <c r="K10" s="2146" t="s">
        <v>88</v>
      </c>
      <c r="L10" s="2147"/>
      <c r="M10" s="525" t="s">
        <v>89</v>
      </c>
      <c r="N10" s="1629"/>
      <c r="AM10" s="585">
        <v>23</v>
      </c>
    </row>
    <row s="1852" customFormat="1" customHeight="1" ht="11.25" hidden="1">
      <c r="A11" s="595"/>
      <c r="B11" s="595"/>
      <c r="C11" s="595"/>
      <c r="D11" s="596" t="s">
        <v>106</v>
      </c>
      <c r="E11" s="596" t="s">
        <v>107</v>
      </c>
      <c r="F11" s="596" t="s">
        <v>90</v>
      </c>
      <c r="G11" s="2128" t="s">
        <v>91</v>
      </c>
      <c r="H11" s="2129"/>
      <c r="I11" s="596" t="s">
        <v>108</v>
      </c>
      <c r="J11" s="596" t="s">
        <v>92</v>
      </c>
      <c r="K11" s="2130" t="s">
        <v>93</v>
      </c>
      <c r="L11" s="2131"/>
      <c r="M11" s="596" t="s">
        <v>109</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110</v>
      </c>
      <c r="P12" s="1415" t="s">
        <v>111</v>
      </c>
      <c r="Q12" s="1415" t="s">
        <v>112</v>
      </c>
      <c r="R12" s="1415" t="s">
        <v>113</v>
      </c>
      <c r="AM12" s="585">
        <v>1</v>
      </c>
    </row>
    <row s="1852" customFormat="1" customHeight="1" ht="15.75">
      <c r="A13" s="295"/>
      <c r="B13" s="295"/>
      <c r="C13" s="528"/>
      <c r="D13" s="2151" t="s">
        <v>106</v>
      </c>
      <c r="E13" s="2152"/>
      <c r="F13" s="2155" t="s">
        <v>65</v>
      </c>
      <c r="G13" s="2156"/>
      <c r="H13" s="2157">
        <v>1</v>
      </c>
      <c r="I13" s="2148" t="str">
        <f>IF(U13="","",INDEX(TERRITORY_MR_LIST,MATCH(U13,TERRITORY_LIST_ID,0)))</f>
        <v/>
      </c>
      <c r="J13" s="2150" t="s">
        <v>19</v>
      </c>
      <c r="K13" s="604"/>
      <c r="L13" s="529" t="s">
        <v>106</v>
      </c>
      <c r="M13" s="605" t="s">
        <v>22</v>
      </c>
      <c r="N13" s="814"/>
      <c r="O13" s="1418" t="s">
        <v>114</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115</v>
      </c>
      <c r="Z13" s="606">
        <v>1705000</v>
      </c>
      <c r="AA13" s="606"/>
      <c r="AB13" s="606"/>
      <c r="AC13" s="606"/>
      <c r="AD13" s="606"/>
      <c r="AE13" s="606"/>
      <c r="AF13" s="606"/>
      <c r="AG13" s="606"/>
      <c r="AH13" s="606"/>
      <c r="AI13" s="606"/>
      <c r="AJ13" s="606"/>
      <c r="AK13" s="606"/>
      <c r="AL13" s="606"/>
      <c r="AM13" s="608">
        <v>15</v>
      </c>
    </row>
    <row s="1852" customFormat="1" customHeight="1" ht="15.75">
      <c r="A14" s="295"/>
      <c r="B14" s="295"/>
      <c r="C14" s="178"/>
      <c r="D14" s="2151"/>
      <c r="E14" s="2153"/>
      <c r="F14" s="2150"/>
      <c r="G14" s="2156"/>
      <c r="H14" s="2157"/>
      <c r="I14" s="2149"/>
      <c r="J14" s="2150"/>
      <c r="K14" s="423"/>
      <c r="L14" s="179"/>
      <c r="M14" s="609" t="s">
        <v>116</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2" customFormat="1" customHeight="1" ht="15.75">
      <c r="A15" s="295"/>
      <c r="B15" s="295"/>
      <c r="C15" s="178"/>
      <c r="D15" s="2151"/>
      <c r="E15" s="2154"/>
      <c r="F15" s="2150"/>
      <c r="G15" s="1062"/>
      <c r="H15" s="1063"/>
      <c r="I15" s="582" t="s">
        <v>117</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118</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85C1A-3668-F7B8-3093-1C4DC4DC4EB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2" width="3.00390625" customWidth="1"/>
    <col min="4" max="4" style="1852" width="6.00390625" customWidth="1"/>
    <col min="5" max="5" style="1852" width="42.00390625" customWidth="1"/>
    <col min="6" max="6" style="1852" width="15.00390625" customWidth="1"/>
    <col min="7" max="7" style="1852" width="42.00390625" customWidth="1"/>
    <col min="8" max="8" style="1852" width="3.00390625" customWidth="1"/>
    <col min="9" max="9" style="1852" width="5.00390625" customWidth="1"/>
    <col min="10" max="10" style="1852" width="47.00390625" customWidth="1"/>
    <col min="11" max="12" style="1852" width="3.00390625" customWidth="1"/>
    <col min="13" max="13" style="1852" width="5.00390625" customWidth="1"/>
    <col min="14" max="14" style="1852" width="28.00390625" customWidth="1"/>
    <col min="15" max="16" style="1852" width="3.00390625" customWidth="1"/>
    <col min="17" max="17" style="1852" width="5.00390625" customWidth="1"/>
    <col min="18" max="18" style="1852" width="34.00390625" customWidth="1"/>
    <col min="19" max="20" style="1852" width="3.7109375" hidden="1" customWidth="1"/>
    <col min="21" max="21" style="1852" width="5.7109375" hidden="1" customWidth="1"/>
    <col min="22" max="22" style="1852" width="34.421875" hidden="1" customWidth="1"/>
    <col min="23" max="23" style="1852" width="30.00390625" customWidth="1"/>
    <col min="24" max="24" style="1852"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2"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9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91"/>
      <c r="F5" s="2191"/>
      <c r="G5" s="2191"/>
      <c r="H5" s="2191"/>
      <c r="I5" s="2191"/>
      <c r="J5" s="2192"/>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96" t="str">
        <f>IF(org=0,"Не определено",org)</f>
        <v>Муниципальное унитарное предприятие "Невельские коммунальные сети"</v>
      </c>
      <c r="E6" s="2196"/>
      <c r="F6" s="2196"/>
      <c r="G6" s="2196"/>
      <c r="H6" s="2196"/>
      <c r="I6" s="2196"/>
      <c r="J6" s="2196"/>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93"/>
      <c r="E7" s="2194"/>
      <c r="F7" s="2194"/>
      <c r="G7" s="2194"/>
      <c r="H7" s="2194"/>
      <c r="I7" s="2194"/>
      <c r="J7" s="2195"/>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40" t="s">
        <v>88</v>
      </c>
      <c r="E9" s="2124" t="s">
        <v>119</v>
      </c>
      <c r="F9" s="2126"/>
      <c r="G9" s="2140" t="s">
        <v>102</v>
      </c>
      <c r="H9" s="2140" t="s">
        <v>88</v>
      </c>
      <c r="I9" s="2140"/>
      <c r="J9" s="2140" t="s">
        <v>120</v>
      </c>
      <c r="K9" s="2197" t="s">
        <v>121</v>
      </c>
      <c r="L9" s="2197"/>
      <c r="M9" s="2197"/>
      <c r="N9" s="2197"/>
      <c r="O9" s="2197" t="s">
        <v>122</v>
      </c>
      <c r="P9" s="2197"/>
      <c r="Q9" s="2197"/>
      <c r="R9" s="2197"/>
      <c r="S9" s="2197" t="s">
        <v>123</v>
      </c>
      <c r="T9" s="2197"/>
      <c r="U9" s="2197"/>
      <c r="V9" s="2197"/>
      <c r="W9" s="2140" t="s">
        <v>124</v>
      </c>
      <c r="AR9" s="106">
        <v>27</v>
      </c>
    </row>
    <row customHeight="1" ht="31.5">
      <c r="D10" s="2140"/>
      <c r="E10" s="1286" t="s">
        <v>89</v>
      </c>
      <c r="F10" s="1286" t="s">
        <v>125</v>
      </c>
      <c r="G10" s="2140"/>
      <c r="H10" s="2140"/>
      <c r="I10" s="2140"/>
      <c r="J10" s="2140"/>
      <c r="K10" s="112" t="s">
        <v>105</v>
      </c>
      <c r="L10" s="2140" t="s">
        <v>88</v>
      </c>
      <c r="M10" s="2140"/>
      <c r="N10" s="112" t="s">
        <v>126</v>
      </c>
      <c r="O10" s="112" t="s">
        <v>105</v>
      </c>
      <c r="P10" s="2140" t="s">
        <v>88</v>
      </c>
      <c r="Q10" s="2140"/>
      <c r="R10" s="112" t="s">
        <v>126</v>
      </c>
      <c r="S10" s="285" t="s">
        <v>105</v>
      </c>
      <c r="T10" s="2140" t="s">
        <v>88</v>
      </c>
      <c r="U10" s="2140"/>
      <c r="V10" s="285" t="s">
        <v>89</v>
      </c>
      <c r="W10" s="2140"/>
      <c r="Z10" s="1261" t="s">
        <v>127</v>
      </c>
      <c r="AA10" s="1261" t="s">
        <v>128</v>
      </c>
      <c r="AB10" s="1261" t="s">
        <v>129</v>
      </c>
      <c r="AC10" s="1261" t="s">
        <v>130</v>
      </c>
      <c r="AD10" s="1261" t="s">
        <v>131</v>
      </c>
      <c r="AE10" s="1261" t="s">
        <v>132</v>
      </c>
      <c r="AF10" s="1261" t="s">
        <v>133</v>
      </c>
      <c r="AG10" s="1261" t="s">
        <v>134</v>
      </c>
      <c r="AH10" s="1261" t="s">
        <v>135</v>
      </c>
      <c r="AI10" s="1261" t="s">
        <v>136</v>
      </c>
      <c r="AJ10" s="1261" t="s">
        <v>137</v>
      </c>
      <c r="AK10" s="1261" t="s">
        <v>138</v>
      </c>
      <c r="AL10" s="1261" t="s">
        <v>139</v>
      </c>
      <c r="AM10" s="1261" t="s">
        <v>140</v>
      </c>
      <c r="AN10" s="1261" t="s">
        <v>141</v>
      </c>
      <c r="AO10" s="1261" t="s">
        <v>142</v>
      </c>
      <c r="AP10" s="1261" t="s">
        <v>143</v>
      </c>
      <c r="AQ10" s="1261" t="s">
        <v>144</v>
      </c>
      <c r="AR10" s="106">
        <v>30</v>
      </c>
    </row>
    <row s="1626" customFormat="1" customHeight="1" ht="12">
      <c r="D11" s="1251" t="s">
        <v>106</v>
      </c>
      <c r="E11" s="1251" t="s">
        <v>107</v>
      </c>
      <c r="F11" s="1251"/>
      <c r="G11" s="1251" t="s">
        <v>90</v>
      </c>
      <c r="H11" s="2189" t="s">
        <v>108</v>
      </c>
      <c r="I11" s="2189"/>
      <c r="J11" s="1251" t="s">
        <v>92</v>
      </c>
      <c r="K11" s="1251" t="s">
        <v>93</v>
      </c>
      <c r="L11" s="2189" t="s">
        <v>109</v>
      </c>
      <c r="M11" s="2189"/>
      <c r="N11" s="1251" t="s">
        <v>145</v>
      </c>
      <c r="O11" s="1251" t="s">
        <v>146</v>
      </c>
      <c r="P11" s="2189" t="s">
        <v>147</v>
      </c>
      <c r="Q11" s="2189"/>
      <c r="R11" s="1251" t="s">
        <v>148</v>
      </c>
      <c r="S11" s="1251" t="s">
        <v>147</v>
      </c>
      <c r="T11" s="2189" t="s">
        <v>148</v>
      </c>
      <c r="U11" s="2189"/>
      <c r="V11" s="1251" t="s">
        <v>149</v>
      </c>
      <c r="W11" s="1251" t="s">
        <v>150</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2" customFormat="1" customHeight="1" ht="17.25">
      <c r="A13" s="323"/>
      <c r="C13" s="211"/>
      <c r="D13" s="2173">
        <v>1</v>
      </c>
      <c r="E13" s="2162" t="s">
        <v>151</v>
      </c>
      <c r="F13" s="2175" t="s">
        <v>19</v>
      </c>
      <c r="G13" s="2162"/>
      <c r="H13" s="2164"/>
      <c r="I13" s="2166"/>
      <c r="J13" s="2168"/>
      <c r="K13" s="2160"/>
      <c r="L13" s="2160"/>
      <c r="M13" s="2160"/>
      <c r="N13" s="2171"/>
      <c r="O13" s="2160"/>
      <c r="P13" s="2160"/>
      <c r="Q13" s="2160"/>
      <c r="R13" s="2158"/>
      <c r="S13" s="2160"/>
      <c r="T13" s="1422"/>
      <c r="U13" s="1422"/>
      <c r="V13" s="1421"/>
      <c r="W13" s="1298"/>
      <c r="Y13" s="1269"/>
      <c r="Z13" s="1269"/>
      <c r="AA13" s="1269"/>
      <c r="AB13" s="1269"/>
      <c r="AC13" s="1269" t="s">
        <v>152</v>
      </c>
      <c r="AD13" s="1269" t="s">
        <v>153</v>
      </c>
      <c r="AE13" s="1269" t="s">
        <v>154</v>
      </c>
      <c r="AF13" s="1269" t="s">
        <v>155</v>
      </c>
      <c r="AG13" s="1269" t="s">
        <v>156</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2" customFormat="1" customHeight="1" ht="17.25">
      <c r="A14" s="323"/>
      <c r="C14" s="322"/>
      <c r="D14" s="2173"/>
      <c r="E14" s="2162"/>
      <c r="F14" s="2176"/>
      <c r="G14" s="2162"/>
      <c r="H14" s="2165"/>
      <c r="I14" s="2167"/>
      <c r="J14" s="2169"/>
      <c r="K14" s="2161"/>
      <c r="L14" s="2161"/>
      <c r="M14" s="2161"/>
      <c r="N14" s="2172"/>
      <c r="O14" s="2161"/>
      <c r="P14" s="2161"/>
      <c r="Q14" s="2161"/>
      <c r="R14" s="2159"/>
      <c r="S14" s="2161"/>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2" customFormat="1" customHeight="1" ht="17.25">
      <c r="A15" s="323"/>
      <c r="C15" s="211"/>
      <c r="D15" s="2173"/>
      <c r="E15" s="2162"/>
      <c r="F15" s="2176"/>
      <c r="G15" s="2162"/>
      <c r="H15" s="2165"/>
      <c r="I15" s="2167"/>
      <c r="J15" s="2170"/>
      <c r="K15" s="2161"/>
      <c r="L15" s="2161"/>
      <c r="M15" s="2161"/>
      <c r="N15" s="2159"/>
      <c r="O15" s="2161"/>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2" customFormat="1" customHeight="1" ht="17.25">
      <c r="A16" s="323"/>
      <c r="C16" s="322"/>
      <c r="D16" s="2173"/>
      <c r="E16" s="2162"/>
      <c r="F16" s="2176"/>
      <c r="G16" s="2162"/>
      <c r="H16" s="2165"/>
      <c r="I16" s="2167"/>
      <c r="J16" s="2170"/>
      <c r="K16" s="2161"/>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2" customFormat="1" customHeight="1" ht="17.25">
      <c r="A17" s="323"/>
      <c r="C17" s="322"/>
      <c r="D17" s="2174"/>
      <c r="E17" s="2163"/>
      <c r="F17" s="2177"/>
      <c r="G17" s="2163"/>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2" customFormat="1" customHeight="1" ht="17.25">
      <c r="A18" s="323"/>
      <c r="C18" s="211"/>
      <c r="D18" s="2173">
        <v>2</v>
      </c>
      <c r="E18" s="2187"/>
      <c r="F18" s="2175" t="s">
        <v>19</v>
      </c>
      <c r="G18" s="2162"/>
      <c r="H18" s="2164"/>
      <c r="I18" s="2166"/>
      <c r="J18" s="2168"/>
      <c r="K18" s="2160"/>
      <c r="L18" s="2160"/>
      <c r="M18" s="2160"/>
      <c r="N18" s="2171"/>
      <c r="O18" s="2160"/>
      <c r="P18" s="2160"/>
      <c r="Q18" s="2160"/>
      <c r="R18" s="2158"/>
      <c r="S18" s="2160"/>
      <c r="T18" s="1422"/>
      <c r="U18" s="1422"/>
      <c r="V18" s="1421"/>
      <c r="W18" s="1298"/>
      <c r="X18" s="1269"/>
      <c r="Y18" s="1269"/>
      <c r="Z18" s="1269"/>
      <c r="AA18" s="1269"/>
      <c r="AB18" s="1269"/>
      <c r="AC18" s="1269" t="s">
        <v>157</v>
      </c>
      <c r="AD18" s="1269" t="s">
        <v>158</v>
      </c>
      <c r="AE18" s="1269" t="s">
        <v>159</v>
      </c>
      <c r="AF18" s="1269" t="s">
        <v>160</v>
      </c>
      <c r="AG18" s="1269" t="s">
        <v>161</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3">
        <f>$I$18</f>
        <v>0</v>
      </c>
      <c r="AO18" s="1269" t="str">
        <f>$I$18&amp;"."&amp;$M$18</f>
        <v>.</v>
      </c>
      <c r="AP18" s="1261" t="str">
        <f>$I$18&amp;"."&amp;$M$18&amp;"."&amp;$Q$18</f>
        <v>..</v>
      </c>
      <c r="AQ18" s="1261" t="str">
        <f>$I$18&amp;"."&amp;$M$18&amp;"."&amp;$Q$18&amp;"."&amp;$U$18</f>
        <v>...</v>
      </c>
      <c r="AR18" s="1285">
        <v>0</v>
      </c>
    </row>
    <row s="1852" customFormat="1" customHeight="1" ht="17.25">
      <c r="A19" s="323"/>
      <c r="C19" s="322"/>
      <c r="D19" s="2173"/>
      <c r="E19" s="2187"/>
      <c r="F19" s="2176"/>
      <c r="G19" s="2162"/>
      <c r="H19" s="2165"/>
      <c r="I19" s="2167"/>
      <c r="J19" s="2169"/>
      <c r="K19" s="2161"/>
      <c r="L19" s="2161"/>
      <c r="M19" s="2161"/>
      <c r="N19" s="2172"/>
      <c r="O19" s="2161"/>
      <c r="P19" s="2161"/>
      <c r="Q19" s="2161"/>
      <c r="R19" s="2159"/>
      <c r="S19" s="2161"/>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2" customFormat="1" customHeight="1" ht="17.25">
      <c r="A20" s="323"/>
      <c r="C20" s="322"/>
      <c r="D20" s="2174"/>
      <c r="E20" s="2188"/>
      <c r="F20" s="2176"/>
      <c r="G20" s="2163"/>
      <c r="H20" s="2165"/>
      <c r="I20" s="2167"/>
      <c r="J20" s="2170"/>
      <c r="K20" s="2161"/>
      <c r="L20" s="2161"/>
      <c r="M20" s="2161"/>
      <c r="N20" s="2159"/>
      <c r="O20" s="2161"/>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2" customFormat="1" customHeight="1" ht="17.25">
      <c r="A21" s="323"/>
      <c r="C21" s="322"/>
      <c r="D21" s="2174"/>
      <c r="E21" s="2188"/>
      <c r="F21" s="2176"/>
      <c r="G21" s="2163"/>
      <c r="H21" s="2165"/>
      <c r="I21" s="2167"/>
      <c r="J21" s="2170"/>
      <c r="K21" s="2161"/>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2" customFormat="1" customHeight="1" ht="17.25">
      <c r="A22" s="323"/>
      <c r="C22" s="322"/>
      <c r="D22" s="2174"/>
      <c r="E22" s="2188"/>
      <c r="F22" s="2177"/>
      <c r="G22" s="2163"/>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2" customFormat="1" customHeight="1" ht="17.25">
      <c r="A23" s="323"/>
      <c r="C23" s="211"/>
      <c r="D23" s="2173">
        <v>2</v>
      </c>
      <c r="E23" s="2162" t="s">
        <v>162</v>
      </c>
      <c r="F23" s="2175" t="s">
        <v>19</v>
      </c>
      <c r="G23" s="2162"/>
      <c r="H23" s="2164"/>
      <c r="I23" s="2166"/>
      <c r="J23" s="2168"/>
      <c r="K23" s="2160"/>
      <c r="L23" s="2160"/>
      <c r="M23" s="2160"/>
      <c r="N23" s="2171"/>
      <c r="O23" s="2160"/>
      <c r="P23" s="2160"/>
      <c r="Q23" s="2160"/>
      <c r="R23" s="2158"/>
      <c r="S23" s="2160"/>
      <c r="T23" s="1997"/>
      <c r="U23" s="1997"/>
      <c r="V23" s="1999"/>
      <c r="W23" s="1298"/>
      <c r="X23" s="1269"/>
      <c r="Y23" s="1269"/>
      <c r="Z23" s="1269"/>
      <c r="AA23" s="1269"/>
      <c r="AB23" s="1269"/>
      <c r="AC23" s="1269" t="s">
        <v>157</v>
      </c>
      <c r="AD23" s="1269" t="s">
        <v>158</v>
      </c>
      <c r="AE23" s="1269" t="s">
        <v>159</v>
      </c>
      <c r="AF23" s="1269" t="s">
        <v>160</v>
      </c>
      <c r="AG23" s="1269" t="s">
        <v>161</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3">
        <f>$I$23</f>
        <v>0</v>
      </c>
      <c r="AO23" s="1269" t="str">
        <f>$I$23&amp;"."&amp;$M$23</f>
        <v>.</v>
      </c>
      <c r="AP23" s="1268" t="str">
        <f>$I$23&amp;"."&amp;$M$23&amp;"."&amp;$Q$23</f>
        <v>..</v>
      </c>
      <c r="AQ23" s="1268" t="str">
        <f>$I$23&amp;"."&amp;$M$23&amp;"."&amp;$Q$23&amp;"."&amp;$U$23</f>
        <v>...</v>
      </c>
      <c r="AR23" s="1469">
        <v>0</v>
      </c>
    </row>
    <row s="1852" customFormat="1" customHeight="1" ht="17.25">
      <c r="A24" s="323"/>
      <c r="C24" s="322"/>
      <c r="D24" s="2173"/>
      <c r="E24" s="2162"/>
      <c r="F24" s="2176"/>
      <c r="G24" s="2162"/>
      <c r="H24" s="2165"/>
      <c r="I24" s="2167"/>
      <c r="J24" s="2169"/>
      <c r="K24" s="2161"/>
      <c r="L24" s="2161"/>
      <c r="M24" s="2161"/>
      <c r="N24" s="2172"/>
      <c r="O24" s="2161"/>
      <c r="P24" s="2161"/>
      <c r="Q24" s="2161"/>
      <c r="R24" s="2159"/>
      <c r="S24" s="2161"/>
      <c r="T24" s="2002"/>
      <c r="U24" s="2002"/>
      <c r="V24" s="2002"/>
      <c r="W24" s="2003"/>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2" customFormat="1" customHeight="1" ht="17.25">
      <c r="A25" s="323"/>
      <c r="C25" s="322"/>
      <c r="D25" s="2174"/>
      <c r="E25" s="2163"/>
      <c r="F25" s="2176"/>
      <c r="G25" s="2163"/>
      <c r="H25" s="2165"/>
      <c r="I25" s="2167"/>
      <c r="J25" s="2170"/>
      <c r="K25" s="2161"/>
      <c r="L25" s="2161"/>
      <c r="M25" s="2161"/>
      <c r="N25" s="2159"/>
      <c r="O25" s="2161"/>
      <c r="P25" s="1998"/>
      <c r="Q25" s="2002"/>
      <c r="R25" s="2002"/>
      <c r="S25" s="331"/>
      <c r="T25" s="331"/>
      <c r="U25" s="331"/>
      <c r="V25" s="331"/>
      <c r="W25" s="2003"/>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2" customFormat="1" customHeight="1" ht="17.25">
      <c r="A26" s="323"/>
      <c r="C26" s="322"/>
      <c r="D26" s="2174"/>
      <c r="E26" s="2163"/>
      <c r="F26" s="2176"/>
      <c r="G26" s="2163"/>
      <c r="H26" s="2165"/>
      <c r="I26" s="2167"/>
      <c r="J26" s="2170"/>
      <c r="K26" s="2161"/>
      <c r="L26" s="2002"/>
      <c r="M26" s="2002"/>
      <c r="N26" s="2002"/>
      <c r="O26" s="2002"/>
      <c r="P26" s="2002"/>
      <c r="Q26" s="2002"/>
      <c r="R26" s="2002"/>
      <c r="S26" s="331"/>
      <c r="T26" s="331"/>
      <c r="U26" s="331"/>
      <c r="V26" s="331"/>
      <c r="W26" s="2003"/>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2" customFormat="1" customHeight="1" ht="17.25">
      <c r="A27" s="323"/>
      <c r="C27" s="322"/>
      <c r="D27" s="2174"/>
      <c r="E27" s="2163"/>
      <c r="F27" s="2177"/>
      <c r="G27" s="2163"/>
      <c r="H27" s="1301"/>
      <c r="I27" s="2000"/>
      <c r="J27" s="2000"/>
      <c r="K27" s="2000"/>
      <c r="L27" s="2000"/>
      <c r="M27" s="2000"/>
      <c r="N27" s="2000"/>
      <c r="O27" s="2000"/>
      <c r="P27" s="2000"/>
      <c r="Q27" s="2000"/>
      <c r="R27" s="2000"/>
      <c r="S27" s="1303"/>
      <c r="T27" s="1303"/>
      <c r="U27" s="1303"/>
      <c r="V27" s="1303"/>
      <c r="W27" s="2001"/>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2" customFormat="1" customHeight="1" ht="17.25">
      <c r="A28" s="323"/>
      <c r="C28" s="211"/>
      <c r="D28" s="2173">
        <v>3</v>
      </c>
      <c r="E28" s="2162" t="s">
        <v>163</v>
      </c>
      <c r="F28" s="2175" t="s">
        <v>19</v>
      </c>
      <c r="G28" s="2162"/>
      <c r="H28" s="2164"/>
      <c r="I28" s="2166"/>
      <c r="J28" s="2168"/>
      <c r="K28" s="2160"/>
      <c r="L28" s="2160"/>
      <c r="M28" s="2160"/>
      <c r="N28" s="2171"/>
      <c r="O28" s="2160"/>
      <c r="P28" s="2160"/>
      <c r="Q28" s="2160"/>
      <c r="R28" s="2158"/>
      <c r="S28" s="2160"/>
      <c r="T28" s="1422"/>
      <c r="U28" s="1422"/>
      <c r="V28" s="1421"/>
      <c r="W28" s="1298"/>
      <c r="X28" s="1269"/>
      <c r="Y28" s="1269"/>
      <c r="Z28" s="1269"/>
      <c r="AA28" s="1269"/>
      <c r="AB28" s="1269"/>
      <c r="AC28" s="1269" t="s">
        <v>164</v>
      </c>
      <c r="AD28" s="1269" t="s">
        <v>165</v>
      </c>
      <c r="AE28" s="1269" t="s">
        <v>166</v>
      </c>
      <c r="AF28" s="1269" t="s">
        <v>167</v>
      </c>
      <c r="AG28" s="1269" t="s">
        <v>168</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3">
        <f>$I$28</f>
        <v>0</v>
      </c>
      <c r="AO28" s="1269" t="str">
        <f>$I$28&amp;"."&amp;$M$28</f>
        <v>.</v>
      </c>
      <c r="AP28" s="1261" t="str">
        <f>$I$28&amp;"."&amp;$M$28&amp;"."&amp;$Q$28</f>
        <v>..</v>
      </c>
      <c r="AQ28" s="1261" t="str">
        <f>$I$28&amp;"."&amp;$M$28&amp;"."&amp;$Q$28&amp;"."&amp;$U$28</f>
        <v>...</v>
      </c>
      <c r="AR28" s="1285">
        <v>0</v>
      </c>
    </row>
    <row s="1852" customFormat="1" customHeight="1" ht="17.25">
      <c r="A29" s="323"/>
      <c r="C29" s="322"/>
      <c r="D29" s="2173"/>
      <c r="E29" s="2162"/>
      <c r="F29" s="2176"/>
      <c r="G29" s="2162"/>
      <c r="H29" s="2165"/>
      <c r="I29" s="2167"/>
      <c r="J29" s="2169"/>
      <c r="K29" s="2161"/>
      <c r="L29" s="2161"/>
      <c r="M29" s="2161"/>
      <c r="N29" s="2172"/>
      <c r="O29" s="2161"/>
      <c r="P29" s="2161"/>
      <c r="Q29" s="2161"/>
      <c r="R29" s="2159"/>
      <c r="S29" s="2161"/>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2" customFormat="1" customHeight="1" ht="17.25">
      <c r="A30" s="323"/>
      <c r="C30" s="322"/>
      <c r="D30" s="2174"/>
      <c r="E30" s="2163"/>
      <c r="F30" s="2176"/>
      <c r="G30" s="2163"/>
      <c r="H30" s="2165"/>
      <c r="I30" s="2167"/>
      <c r="J30" s="2170"/>
      <c r="K30" s="2161"/>
      <c r="L30" s="2161"/>
      <c r="M30" s="2161"/>
      <c r="N30" s="2159"/>
      <c r="O30" s="2161"/>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2" customFormat="1" customHeight="1" ht="17.25">
      <c r="A31" s="323"/>
      <c r="C31" s="322"/>
      <c r="D31" s="2174"/>
      <c r="E31" s="2163"/>
      <c r="F31" s="2176"/>
      <c r="G31" s="2163"/>
      <c r="H31" s="2165"/>
      <c r="I31" s="2167"/>
      <c r="J31" s="2170"/>
      <c r="K31" s="2161"/>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2" customFormat="1" customHeight="1" ht="17.25">
      <c r="A32" s="323"/>
      <c r="C32" s="322"/>
      <c r="D32" s="2174"/>
      <c r="E32" s="2163"/>
      <c r="F32" s="2177"/>
      <c r="G32" s="2163"/>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2" customFormat="1" customHeight="1" ht="17.25">
      <c r="A33" s="323"/>
      <c r="C33" s="211"/>
      <c r="D33" s="2173">
        <v>4</v>
      </c>
      <c r="E33" s="2162" t="s">
        <v>169</v>
      </c>
      <c r="F33" s="2175" t="s">
        <v>19</v>
      </c>
      <c r="G33" s="2162"/>
      <c r="H33" s="2164"/>
      <c r="I33" s="2166"/>
      <c r="J33" s="2168"/>
      <c r="K33" s="2160"/>
      <c r="L33" s="2160"/>
      <c r="M33" s="2160"/>
      <c r="N33" s="2171"/>
      <c r="O33" s="2160"/>
      <c r="P33" s="2160"/>
      <c r="Q33" s="2160"/>
      <c r="R33" s="2158"/>
      <c r="S33" s="2160"/>
      <c r="T33" s="1422"/>
      <c r="U33" s="1422"/>
      <c r="V33" s="1421"/>
      <c r="W33" s="1298"/>
      <c r="X33" s="1269"/>
      <c r="Y33" s="1269"/>
      <c r="Z33" s="1269"/>
      <c r="AA33" s="1269"/>
      <c r="AB33" s="1269"/>
      <c r="AC33" s="1269" t="s">
        <v>170</v>
      </c>
      <c r="AD33" s="1269" t="s">
        <v>171</v>
      </c>
      <c r="AE33" s="1269" t="s">
        <v>172</v>
      </c>
      <c r="AF33" s="1269" t="s">
        <v>173</v>
      </c>
      <c r="AG33" s="1269" t="s">
        <v>174</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3">
        <f>$I$33</f>
        <v>0</v>
      </c>
      <c r="AO33" s="1269" t="str">
        <f>$I$33&amp;"."&amp;$M$33</f>
        <v>.</v>
      </c>
      <c r="AP33" s="1261" t="str">
        <f>$I$33&amp;"."&amp;$M$33&amp;"."&amp;$Q$33</f>
        <v>..</v>
      </c>
      <c r="AQ33" s="1261" t="str">
        <f>$I$33&amp;"."&amp;$M$33&amp;"."&amp;$Q$33&amp;"."&amp;$U$33</f>
        <v>...</v>
      </c>
      <c r="AR33" s="1285">
        <v>0</v>
      </c>
    </row>
    <row s="1852" customFormat="1" customHeight="1" ht="17.25">
      <c r="A34" s="323"/>
      <c r="C34" s="322"/>
      <c r="D34" s="2173"/>
      <c r="E34" s="2162"/>
      <c r="F34" s="2176"/>
      <c r="G34" s="2162"/>
      <c r="H34" s="2165"/>
      <c r="I34" s="2167"/>
      <c r="J34" s="2169"/>
      <c r="K34" s="2161"/>
      <c r="L34" s="2161"/>
      <c r="M34" s="2161"/>
      <c r="N34" s="2172"/>
      <c r="O34" s="2161"/>
      <c r="P34" s="2161"/>
      <c r="Q34" s="2161"/>
      <c r="R34" s="2159"/>
      <c r="S34" s="2161"/>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2" customFormat="1" customHeight="1" ht="17.25">
      <c r="A35" s="323"/>
      <c r="C35" s="322"/>
      <c r="D35" s="2174"/>
      <c r="E35" s="2163"/>
      <c r="F35" s="2176"/>
      <c r="G35" s="2163"/>
      <c r="H35" s="2165"/>
      <c r="I35" s="2167"/>
      <c r="J35" s="2170"/>
      <c r="K35" s="2161"/>
      <c r="L35" s="2161"/>
      <c r="M35" s="2161"/>
      <c r="N35" s="2159"/>
      <c r="O35" s="2161"/>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2" customFormat="1" customHeight="1" ht="17.25">
      <c r="A36" s="323"/>
      <c r="C36" s="322"/>
      <c r="D36" s="2174"/>
      <c r="E36" s="2163"/>
      <c r="F36" s="2176"/>
      <c r="G36" s="2163"/>
      <c r="H36" s="2165"/>
      <c r="I36" s="2167"/>
      <c r="J36" s="2170"/>
      <c r="K36" s="2161"/>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2" customFormat="1" customHeight="1" ht="17.25">
      <c r="A37" s="323"/>
      <c r="C37" s="322"/>
      <c r="D37" s="2174"/>
      <c r="E37" s="2163"/>
      <c r="F37" s="2177"/>
      <c r="G37" s="2163"/>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2" customFormat="1" customHeight="1" ht="17.25">
      <c r="A38" s="323"/>
      <c r="C38" s="211"/>
      <c r="D38" s="2173">
        <v>5</v>
      </c>
      <c r="E38" s="2162" t="s">
        <v>175</v>
      </c>
      <c r="F38" s="2175" t="s">
        <v>19</v>
      </c>
      <c r="G38" s="2162"/>
      <c r="H38" s="2164"/>
      <c r="I38" s="2166"/>
      <c r="J38" s="2168"/>
      <c r="K38" s="2160"/>
      <c r="L38" s="2160"/>
      <c r="M38" s="2160"/>
      <c r="N38" s="2171"/>
      <c r="O38" s="2160"/>
      <c r="P38" s="2160"/>
      <c r="Q38" s="2160"/>
      <c r="R38" s="2158"/>
      <c r="S38" s="2160"/>
      <c r="T38" s="1422"/>
      <c r="U38" s="1422"/>
      <c r="V38" s="1421"/>
      <c r="W38" s="1298"/>
      <c r="X38" s="1269"/>
      <c r="Y38" s="1269"/>
      <c r="Z38" s="1269"/>
      <c r="AA38" s="1269"/>
      <c r="AB38" s="1269"/>
      <c r="AC38" s="1269" t="s">
        <v>176</v>
      </c>
      <c r="AD38" s="1269" t="s">
        <v>177</v>
      </c>
      <c r="AE38" s="1269" t="s">
        <v>178</v>
      </c>
      <c r="AF38" s="1269" t="s">
        <v>179</v>
      </c>
      <c r="AG38" s="1269" t="s">
        <v>180</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3">
        <f>$I$38</f>
        <v>0</v>
      </c>
      <c r="AO38" s="1269" t="str">
        <f>$I$38&amp;"."&amp;$M$38</f>
        <v>.</v>
      </c>
      <c r="AP38" s="1261" t="str">
        <f>$I$38&amp;"."&amp;$M$38&amp;"."&amp;$Q$38</f>
        <v>..</v>
      </c>
      <c r="AQ38" s="1261" t="str">
        <f>$I$38&amp;"."&amp;$M$38&amp;"."&amp;$Q$38&amp;"."&amp;$U$38</f>
        <v>...</v>
      </c>
      <c r="AR38" s="1285">
        <v>0</v>
      </c>
    </row>
    <row s="1852" customFormat="1" customHeight="1" ht="17.25">
      <c r="A39" s="323"/>
      <c r="C39" s="322"/>
      <c r="D39" s="2173"/>
      <c r="E39" s="2162"/>
      <c r="F39" s="2176"/>
      <c r="G39" s="2162"/>
      <c r="H39" s="2165"/>
      <c r="I39" s="2167"/>
      <c r="J39" s="2169"/>
      <c r="K39" s="2161"/>
      <c r="L39" s="2161"/>
      <c r="M39" s="2161"/>
      <c r="N39" s="2172"/>
      <c r="O39" s="2161"/>
      <c r="P39" s="2161"/>
      <c r="Q39" s="2161"/>
      <c r="R39" s="2159"/>
      <c r="S39" s="2161"/>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2" customFormat="1" customHeight="1" ht="17.25">
      <c r="A40" s="323"/>
      <c r="C40" s="322"/>
      <c r="D40" s="2174"/>
      <c r="E40" s="2163"/>
      <c r="F40" s="2176"/>
      <c r="G40" s="2163"/>
      <c r="H40" s="2165"/>
      <c r="I40" s="2167"/>
      <c r="J40" s="2170"/>
      <c r="K40" s="2161"/>
      <c r="L40" s="2161"/>
      <c r="M40" s="2161"/>
      <c r="N40" s="2159"/>
      <c r="O40" s="2161"/>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2" customFormat="1" customHeight="1" ht="17.25">
      <c r="A41" s="323"/>
      <c r="C41" s="322"/>
      <c r="D41" s="2174"/>
      <c r="E41" s="2163"/>
      <c r="F41" s="2176"/>
      <c r="G41" s="2163"/>
      <c r="H41" s="2165"/>
      <c r="I41" s="2167"/>
      <c r="J41" s="2170"/>
      <c r="K41" s="2161"/>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2" customFormat="1" customHeight="1" ht="17.25">
      <c r="A42" s="323"/>
      <c r="C42" s="322"/>
      <c r="D42" s="2174"/>
      <c r="E42" s="2163"/>
      <c r="F42" s="2177"/>
      <c r="G42" s="2163"/>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2" customFormat="1" customHeight="1" ht="17.25">
      <c r="A43" s="323"/>
      <c r="C43" s="211"/>
      <c r="D43" s="2173">
        <v>6</v>
      </c>
      <c r="E43" s="2162" t="s">
        <v>181</v>
      </c>
      <c r="F43" s="2175" t="s">
        <v>19</v>
      </c>
      <c r="G43" s="2162"/>
      <c r="H43" s="2164"/>
      <c r="I43" s="2166"/>
      <c r="J43" s="2168"/>
      <c r="K43" s="2160"/>
      <c r="L43" s="2160"/>
      <c r="M43" s="2160"/>
      <c r="N43" s="2171"/>
      <c r="O43" s="2160"/>
      <c r="P43" s="2160"/>
      <c r="Q43" s="2160"/>
      <c r="R43" s="2158"/>
      <c r="S43" s="2160"/>
      <c r="T43" s="1422"/>
      <c r="U43" s="1422"/>
      <c r="V43" s="1421"/>
      <c r="W43" s="1298"/>
      <c r="X43" s="1269"/>
      <c r="Y43" s="1269"/>
      <c r="Z43" s="1269"/>
      <c r="AA43" s="1269"/>
      <c r="AB43" s="1269"/>
      <c r="AC43" s="1269" t="s">
        <v>182</v>
      </c>
      <c r="AD43" s="1269" t="s">
        <v>183</v>
      </c>
      <c r="AE43" s="1269" t="s">
        <v>184</v>
      </c>
      <c r="AF43" s="1269" t="s">
        <v>185</v>
      </c>
      <c r="AG43" s="1269" t="s">
        <v>186</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3">
        <f>$I$43</f>
        <v>0</v>
      </c>
      <c r="AO43" s="1269" t="str">
        <f>$I$43&amp;"."&amp;$M$43</f>
        <v>.</v>
      </c>
      <c r="AP43" s="1261" t="str">
        <f>$I$43&amp;"."&amp;$M$43&amp;"."&amp;$Q$43</f>
        <v>..</v>
      </c>
      <c r="AQ43" s="1261" t="str">
        <f>$I$43&amp;"."&amp;$M$43&amp;"."&amp;$Q$43&amp;"."&amp;$U$43</f>
        <v>...</v>
      </c>
      <c r="AR43" s="1285">
        <v>0</v>
      </c>
    </row>
    <row s="1852" customFormat="1" customHeight="1" ht="17.25">
      <c r="A44" s="323"/>
      <c r="C44" s="322"/>
      <c r="D44" s="2173"/>
      <c r="E44" s="2162"/>
      <c r="F44" s="2176"/>
      <c r="G44" s="2162"/>
      <c r="H44" s="2165"/>
      <c r="I44" s="2167"/>
      <c r="J44" s="2169"/>
      <c r="K44" s="2161"/>
      <c r="L44" s="2161"/>
      <c r="M44" s="2161"/>
      <c r="N44" s="2172"/>
      <c r="O44" s="2161"/>
      <c r="P44" s="2161"/>
      <c r="Q44" s="2161"/>
      <c r="R44" s="2159"/>
      <c r="S44" s="2161"/>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2" customFormat="1" customHeight="1" ht="17.25">
      <c r="A45" s="323"/>
      <c r="C45" s="322"/>
      <c r="D45" s="2174"/>
      <c r="E45" s="2163"/>
      <c r="F45" s="2176"/>
      <c r="G45" s="2163"/>
      <c r="H45" s="2165"/>
      <c r="I45" s="2167"/>
      <c r="J45" s="2170"/>
      <c r="K45" s="2161"/>
      <c r="L45" s="2161"/>
      <c r="M45" s="2161"/>
      <c r="N45" s="2159"/>
      <c r="O45" s="2161"/>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2" customFormat="1" customHeight="1" ht="17.25">
      <c r="A46" s="323"/>
      <c r="C46" s="211"/>
      <c r="D46" s="2174"/>
      <c r="E46" s="2163"/>
      <c r="F46" s="2176"/>
      <c r="G46" s="2163"/>
      <c r="H46" s="2165"/>
      <c r="I46" s="2167"/>
      <c r="J46" s="2170"/>
      <c r="K46" s="2161"/>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2" customFormat="1" customHeight="1" ht="17.25">
      <c r="A47" s="323"/>
      <c r="C47" s="322"/>
      <c r="D47" s="2174"/>
      <c r="E47" s="2163"/>
      <c r="F47" s="2177"/>
      <c r="G47" s="2163"/>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2" customFormat="1" customHeight="1" ht="17.25">
      <c r="A48" s="323"/>
      <c r="C48" s="211"/>
      <c r="D48" s="2181">
        <v>7</v>
      </c>
      <c r="E48" s="2184" t="s">
        <v>187</v>
      </c>
      <c r="F48" s="2175" t="s">
        <v>19</v>
      </c>
      <c r="G48" s="2184"/>
      <c r="H48" s="2164"/>
      <c r="I48" s="2166"/>
      <c r="J48" s="2168"/>
      <c r="K48" s="2160"/>
      <c r="L48" s="2160"/>
      <c r="M48" s="2160"/>
      <c r="N48" s="2171"/>
      <c r="O48" s="2160"/>
      <c r="P48" s="2160"/>
      <c r="Q48" s="2160"/>
      <c r="R48" s="2158"/>
      <c r="S48" s="2160"/>
      <c r="T48" s="1422"/>
      <c r="U48" s="1422"/>
      <c r="V48" s="1421"/>
      <c r="W48" s="1298"/>
      <c r="X48" s="1269"/>
      <c r="Y48" s="1269"/>
      <c r="Z48" s="1269"/>
      <c r="AA48" s="1269"/>
      <c r="AB48" s="1269"/>
      <c r="AC48" s="1269" t="s">
        <v>188</v>
      </c>
      <c r="AD48" s="1269" t="s">
        <v>189</v>
      </c>
      <c r="AE48" s="1269" t="s">
        <v>190</v>
      </c>
      <c r="AF48" s="1269" t="s">
        <v>191</v>
      </c>
      <c r="AG48" s="1269" t="s">
        <v>192</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3">
        <f>$I$48</f>
        <v>0</v>
      </c>
      <c r="AO48" s="1269" t="str">
        <f>$I$48&amp;"."&amp;$M$48</f>
        <v>.</v>
      </c>
      <c r="AP48" s="1261" t="str">
        <f>$I$48&amp;"."&amp;$M$48&amp;"."&amp;$Q$48</f>
        <v>..</v>
      </c>
      <c r="AQ48" s="1261" t="str">
        <f>$I$48&amp;"."&amp;$M$48&amp;"."&amp;$Q$48&amp;"."&amp;$U$48</f>
        <v>...</v>
      </c>
      <c r="AR48" s="1310">
        <v>0</v>
      </c>
    </row>
    <row s="1852" customFormat="1" customHeight="1" ht="17.25">
      <c r="A49" s="323"/>
      <c r="C49" s="322"/>
      <c r="D49" s="2182"/>
      <c r="E49" s="2185"/>
      <c r="F49" s="2176"/>
      <c r="G49" s="2185"/>
      <c r="H49" s="2165"/>
      <c r="I49" s="2167"/>
      <c r="J49" s="2169"/>
      <c r="K49" s="2161"/>
      <c r="L49" s="2161"/>
      <c r="M49" s="2161"/>
      <c r="N49" s="2172"/>
      <c r="O49" s="2161"/>
      <c r="P49" s="2161"/>
      <c r="Q49" s="2161"/>
      <c r="R49" s="2159"/>
      <c r="S49" s="2161"/>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2" customFormat="1" customHeight="1" ht="17.25">
      <c r="A50" s="323"/>
      <c r="C50" s="322"/>
      <c r="D50" s="2182"/>
      <c r="E50" s="2185"/>
      <c r="F50" s="2176"/>
      <c r="G50" s="2185"/>
      <c r="H50" s="2165"/>
      <c r="I50" s="2167"/>
      <c r="J50" s="2170"/>
      <c r="K50" s="2161"/>
      <c r="L50" s="2161"/>
      <c r="M50" s="2161"/>
      <c r="N50" s="2159"/>
      <c r="O50" s="2161"/>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2" customFormat="1" customHeight="1" ht="17.25">
      <c r="A51" s="323"/>
      <c r="C51" s="211"/>
      <c r="D51" s="2182"/>
      <c r="E51" s="2185"/>
      <c r="F51" s="2176"/>
      <c r="G51" s="2185"/>
      <c r="H51" s="2165"/>
      <c r="I51" s="2167"/>
      <c r="J51" s="2170"/>
      <c r="K51" s="2161"/>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2" customFormat="1" customHeight="1" ht="17.25">
      <c r="A52" s="323"/>
      <c r="C52" s="322"/>
      <c r="D52" s="2183"/>
      <c r="E52" s="2186"/>
      <c r="F52" s="2177"/>
      <c r="G52" s="2186"/>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2" customFormat="1" customHeight="1" ht="17.25">
      <c r="A53" s="323"/>
      <c r="C53" s="211"/>
      <c r="D53" s="2173">
        <v>8</v>
      </c>
      <c r="E53" s="2162" t="s">
        <v>193</v>
      </c>
      <c r="F53" s="2175" t="s">
        <v>19</v>
      </c>
      <c r="G53" s="2162"/>
      <c r="H53" s="2164"/>
      <c r="I53" s="2166"/>
      <c r="J53" s="2168"/>
      <c r="K53" s="2160"/>
      <c r="L53" s="2160"/>
      <c r="M53" s="2160"/>
      <c r="N53" s="2171"/>
      <c r="O53" s="2160"/>
      <c r="P53" s="2160"/>
      <c r="Q53" s="2160"/>
      <c r="R53" s="2158"/>
      <c r="S53" s="2160"/>
      <c r="T53" s="1472"/>
      <c r="U53" s="1472"/>
      <c r="V53" s="1474"/>
      <c r="W53" s="1298"/>
      <c r="X53" s="1269"/>
      <c r="Y53" s="1269"/>
      <c r="Z53" s="1269"/>
      <c r="AA53" s="1269"/>
      <c r="AB53" s="1269"/>
      <c r="AC53" s="1269" t="s">
        <v>194</v>
      </c>
      <c r="AD53" s="1269" t="s">
        <v>195</v>
      </c>
      <c r="AE53" s="1269" t="s">
        <v>196</v>
      </c>
      <c r="AF53" s="1269" t="s">
        <v>197</v>
      </c>
      <c r="AG53" s="1269" t="s">
        <v>198</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3">
        <f>$I$53</f>
        <v>0</v>
      </c>
      <c r="AO53" s="1269" t="str">
        <f>$I$53&amp;"."&amp;$M$53</f>
        <v>.</v>
      </c>
      <c r="AP53" s="1261" t="str">
        <f>$I$53&amp;"."&amp;$M$53&amp;"."&amp;$Q$53</f>
        <v>..</v>
      </c>
      <c r="AQ53" s="1261" t="str">
        <f>$I$53&amp;"."&amp;$M$53&amp;"."&amp;$Q$53&amp;"."&amp;$U$53</f>
        <v>...</v>
      </c>
      <c r="AR53" s="1310">
        <v>0</v>
      </c>
    </row>
    <row s="1852" customFormat="1" customHeight="1" ht="17.25">
      <c r="A54" s="323"/>
      <c r="C54" s="322"/>
      <c r="D54" s="2173"/>
      <c r="E54" s="2162"/>
      <c r="F54" s="2176"/>
      <c r="G54" s="2162"/>
      <c r="H54" s="2165"/>
      <c r="I54" s="2167"/>
      <c r="J54" s="2169"/>
      <c r="K54" s="2161"/>
      <c r="L54" s="2161"/>
      <c r="M54" s="2161"/>
      <c r="N54" s="2172"/>
      <c r="O54" s="2161"/>
      <c r="P54" s="2161"/>
      <c r="Q54" s="2161"/>
      <c r="R54" s="2159"/>
      <c r="S54" s="2161"/>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2" customFormat="1" customHeight="1" ht="17.25">
      <c r="A55" s="323"/>
      <c r="C55" s="322"/>
      <c r="D55" s="2174"/>
      <c r="E55" s="2163"/>
      <c r="F55" s="2176"/>
      <c r="G55" s="2163"/>
      <c r="H55" s="2165"/>
      <c r="I55" s="2167"/>
      <c r="J55" s="2170"/>
      <c r="K55" s="2161"/>
      <c r="L55" s="2161"/>
      <c r="M55" s="2161"/>
      <c r="N55" s="2159"/>
      <c r="O55" s="2161"/>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2" customFormat="1" customHeight="1" ht="17.25">
      <c r="A56" s="323"/>
      <c r="C56" s="211"/>
      <c r="D56" s="2174"/>
      <c r="E56" s="2163"/>
      <c r="F56" s="2176"/>
      <c r="G56" s="2163"/>
      <c r="H56" s="2165"/>
      <c r="I56" s="2167"/>
      <c r="J56" s="2170"/>
      <c r="K56" s="2161"/>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2" customFormat="1" customHeight="1" ht="17.25">
      <c r="A57" s="323"/>
      <c r="C57" s="322"/>
      <c r="D57" s="2174"/>
      <c r="E57" s="2163"/>
      <c r="F57" s="2177"/>
      <c r="G57" s="2163"/>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2" customFormat="1" customHeight="1" ht="17.25">
      <c r="A58" s="323"/>
      <c r="C58" s="211"/>
      <c r="D58" s="2173">
        <v>9</v>
      </c>
      <c r="E58" s="2162" t="s">
        <v>199</v>
      </c>
      <c r="F58" s="2175" t="s">
        <v>19</v>
      </c>
      <c r="G58" s="2162"/>
      <c r="H58" s="2164"/>
      <c r="I58" s="2166"/>
      <c r="J58" s="2168"/>
      <c r="K58" s="2160"/>
      <c r="L58" s="2160"/>
      <c r="M58" s="2160"/>
      <c r="N58" s="2171"/>
      <c r="O58" s="2160"/>
      <c r="P58" s="2160"/>
      <c r="Q58" s="2160"/>
      <c r="R58" s="2158"/>
      <c r="S58" s="2160"/>
      <c r="T58" s="1930"/>
      <c r="U58" s="1930"/>
      <c r="V58" s="1932"/>
      <c r="W58" s="1298"/>
      <c r="X58" s="1269"/>
      <c r="Y58" s="1269"/>
      <c r="Z58" s="1269"/>
      <c r="AA58" s="1269"/>
      <c r="AB58" s="1269"/>
      <c r="AC58" s="1269" t="s">
        <v>200</v>
      </c>
      <c r="AD58" s="1269" t="s">
        <v>201</v>
      </c>
      <c r="AE58" s="1269" t="s">
        <v>202</v>
      </c>
      <c r="AF58" s="1269" t="s">
        <v>203</v>
      </c>
      <c r="AG58" s="1269" t="s">
        <v>204</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3">
        <f>$I$58</f>
        <v>0</v>
      </c>
      <c r="AO58" s="1269" t="str">
        <f>$I$58&amp;"."&amp;$M$58</f>
        <v>.</v>
      </c>
      <c r="AP58" s="1268" t="str">
        <f>$I$58&amp;"."&amp;$M$58&amp;"."&amp;$Q$58</f>
        <v>..</v>
      </c>
      <c r="AQ58" s="1268" t="str">
        <f>$I$58&amp;"."&amp;$M$58&amp;"."&amp;$Q$58&amp;"."&amp;$U$58</f>
        <v>...</v>
      </c>
      <c r="AR58" s="1469">
        <v>0</v>
      </c>
    </row>
    <row s="1852" customFormat="1" customHeight="1" ht="17.25">
      <c r="A59" s="323"/>
      <c r="C59" s="322"/>
      <c r="D59" s="2173"/>
      <c r="E59" s="2162"/>
      <c r="F59" s="2176"/>
      <c r="G59" s="2162"/>
      <c r="H59" s="2165"/>
      <c r="I59" s="2167"/>
      <c r="J59" s="2169"/>
      <c r="K59" s="2161"/>
      <c r="L59" s="2161"/>
      <c r="M59" s="2161"/>
      <c r="N59" s="2172"/>
      <c r="O59" s="2161"/>
      <c r="P59" s="2161"/>
      <c r="Q59" s="2161"/>
      <c r="R59" s="2159"/>
      <c r="S59" s="2161"/>
      <c r="T59" s="1933"/>
      <c r="U59" s="1933"/>
      <c r="V59" s="1933"/>
      <c r="W59" s="1934"/>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2" customFormat="1" customHeight="1" ht="17.25">
      <c r="A60" s="323"/>
      <c r="C60" s="322"/>
      <c r="D60" s="2174"/>
      <c r="E60" s="2163"/>
      <c r="F60" s="2176"/>
      <c r="G60" s="2163"/>
      <c r="H60" s="2165"/>
      <c r="I60" s="2167"/>
      <c r="J60" s="2170"/>
      <c r="K60" s="2161"/>
      <c r="L60" s="2161"/>
      <c r="M60" s="2161"/>
      <c r="N60" s="2159"/>
      <c r="O60" s="2161"/>
      <c r="P60" s="1931"/>
      <c r="Q60" s="1933"/>
      <c r="R60" s="1933"/>
      <c r="S60" s="331"/>
      <c r="T60" s="331"/>
      <c r="U60" s="331"/>
      <c r="V60" s="331"/>
      <c r="W60" s="1934"/>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2" customFormat="1" customHeight="1" ht="17.25">
      <c r="A61" s="323"/>
      <c r="C61" s="211"/>
      <c r="D61" s="2174"/>
      <c r="E61" s="2163"/>
      <c r="F61" s="2176"/>
      <c r="G61" s="2163"/>
      <c r="H61" s="2165"/>
      <c r="I61" s="2167"/>
      <c r="J61" s="2170"/>
      <c r="K61" s="2161"/>
      <c r="L61" s="1933"/>
      <c r="M61" s="1933"/>
      <c r="N61" s="1933"/>
      <c r="O61" s="1933"/>
      <c r="P61" s="1933"/>
      <c r="Q61" s="1933"/>
      <c r="R61" s="1933"/>
      <c r="S61" s="331"/>
      <c r="T61" s="331"/>
      <c r="U61" s="331"/>
      <c r="V61" s="331"/>
      <c r="W61" s="1934"/>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2" customFormat="1" customHeight="1" ht="17.25">
      <c r="A62" s="323"/>
      <c r="C62" s="322"/>
      <c r="D62" s="2174"/>
      <c r="E62" s="2163"/>
      <c r="F62" s="2177"/>
      <c r="G62" s="2163"/>
      <c r="H62" s="1301"/>
      <c r="I62" s="1935"/>
      <c r="J62" s="1935"/>
      <c r="K62" s="1935"/>
      <c r="L62" s="1935"/>
      <c r="M62" s="1935"/>
      <c r="N62" s="1935"/>
      <c r="O62" s="1935"/>
      <c r="P62" s="1935"/>
      <c r="Q62" s="1935"/>
      <c r="R62" s="1935"/>
      <c r="S62" s="1303"/>
      <c r="T62" s="1303"/>
      <c r="U62" s="1303"/>
      <c r="V62" s="1303"/>
      <c r="W62" s="1936"/>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2" customFormat="1" customHeight="1" ht="17.25">
      <c r="A63" s="323"/>
      <c r="C63" s="211"/>
      <c r="D63" s="2173">
        <v>10</v>
      </c>
      <c r="E63" s="2162" t="s">
        <v>205</v>
      </c>
      <c r="F63" s="2175" t="s">
        <v>19</v>
      </c>
      <c r="G63" s="2162"/>
      <c r="H63" s="2164"/>
      <c r="I63" s="2166"/>
      <c r="J63" s="2168"/>
      <c r="K63" s="2160"/>
      <c r="L63" s="2160"/>
      <c r="M63" s="2160"/>
      <c r="N63" s="2171"/>
      <c r="O63" s="2160"/>
      <c r="P63" s="2160"/>
      <c r="Q63" s="2160"/>
      <c r="R63" s="2158"/>
      <c r="S63" s="2160"/>
      <c r="T63" s="1930"/>
      <c r="U63" s="1930"/>
      <c r="V63" s="1932"/>
      <c r="W63" s="1298"/>
      <c r="X63" s="1269"/>
      <c r="Y63" s="1269"/>
      <c r="Z63" s="1269"/>
      <c r="AA63" s="1269"/>
      <c r="AB63" s="1269"/>
      <c r="AC63" s="1269" t="s">
        <v>206</v>
      </c>
      <c r="AD63" s="1269" t="s">
        <v>207</v>
      </c>
      <c r="AE63" s="1269" t="s">
        <v>208</v>
      </c>
      <c r="AF63" s="1269" t="s">
        <v>209</v>
      </c>
      <c r="AG63" s="1269" t="s">
        <v>210</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3">
        <f>$I$63</f>
        <v>0</v>
      </c>
      <c r="AO63" s="1269" t="str">
        <f>$I$63&amp;"."&amp;$M$63</f>
        <v>.</v>
      </c>
      <c r="AP63" s="1268" t="str">
        <f>$I$63&amp;"."&amp;$M$63&amp;"."&amp;$Q$63</f>
        <v>..</v>
      </c>
      <c r="AQ63" s="1268" t="str">
        <f>$I$63&amp;"."&amp;$M$63&amp;"."&amp;$Q$63&amp;"."&amp;$U$63</f>
        <v>...</v>
      </c>
      <c r="AR63" s="1469">
        <v>0</v>
      </c>
    </row>
    <row s="1852" customFormat="1" customHeight="1" ht="17.25">
      <c r="A64" s="323"/>
      <c r="C64" s="322"/>
      <c r="D64" s="2173"/>
      <c r="E64" s="2162"/>
      <c r="F64" s="2176"/>
      <c r="G64" s="2162"/>
      <c r="H64" s="2165"/>
      <c r="I64" s="2167"/>
      <c r="J64" s="2169"/>
      <c r="K64" s="2161"/>
      <c r="L64" s="2161"/>
      <c r="M64" s="2161"/>
      <c r="N64" s="2172"/>
      <c r="O64" s="2161"/>
      <c r="P64" s="2161"/>
      <c r="Q64" s="2161"/>
      <c r="R64" s="2159"/>
      <c r="S64" s="2161"/>
      <c r="T64" s="1933"/>
      <c r="U64" s="1933"/>
      <c r="V64" s="1933"/>
      <c r="W64" s="1934"/>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2" customFormat="1" customHeight="1" ht="17.25">
      <c r="A65" s="323"/>
      <c r="C65" s="322"/>
      <c r="D65" s="2174"/>
      <c r="E65" s="2163"/>
      <c r="F65" s="2176"/>
      <c r="G65" s="2163"/>
      <c r="H65" s="2165"/>
      <c r="I65" s="2167"/>
      <c r="J65" s="2170"/>
      <c r="K65" s="2161"/>
      <c r="L65" s="2161"/>
      <c r="M65" s="2161"/>
      <c r="N65" s="2159"/>
      <c r="O65" s="2161"/>
      <c r="P65" s="1931"/>
      <c r="Q65" s="1933"/>
      <c r="R65" s="1933"/>
      <c r="S65" s="331"/>
      <c r="T65" s="331"/>
      <c r="U65" s="331"/>
      <c r="V65" s="331"/>
      <c r="W65" s="1934"/>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2" customFormat="1" customHeight="1" ht="17.25">
      <c r="A66" s="323"/>
      <c r="C66" s="211"/>
      <c r="D66" s="2174"/>
      <c r="E66" s="2163"/>
      <c r="F66" s="2176"/>
      <c r="G66" s="2163"/>
      <c r="H66" s="2165"/>
      <c r="I66" s="2167"/>
      <c r="J66" s="2170"/>
      <c r="K66" s="2161"/>
      <c r="L66" s="1933"/>
      <c r="M66" s="1933"/>
      <c r="N66" s="1933"/>
      <c r="O66" s="1933"/>
      <c r="P66" s="1933"/>
      <c r="Q66" s="1933"/>
      <c r="R66" s="1933"/>
      <c r="S66" s="331"/>
      <c r="T66" s="331"/>
      <c r="U66" s="331"/>
      <c r="V66" s="331"/>
      <c r="W66" s="1934"/>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2" customFormat="1" customHeight="1" ht="17.25">
      <c r="A67" s="323"/>
      <c r="C67" s="322"/>
      <c r="D67" s="2174"/>
      <c r="E67" s="2163"/>
      <c r="F67" s="2177"/>
      <c r="G67" s="2163"/>
      <c r="H67" s="1301"/>
      <c r="I67" s="1935"/>
      <c r="J67" s="1935"/>
      <c r="K67" s="1935"/>
      <c r="L67" s="1935"/>
      <c r="M67" s="1935"/>
      <c r="N67" s="1935"/>
      <c r="O67" s="1935"/>
      <c r="P67" s="1935"/>
      <c r="Q67" s="1935"/>
      <c r="R67" s="1935"/>
      <c r="S67" s="1303"/>
      <c r="T67" s="1303"/>
      <c r="U67" s="1303"/>
      <c r="V67" s="1303"/>
      <c r="W67" s="1936"/>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80" t="s">
        <v>211</v>
      </c>
      <c r="F69" s="2180"/>
      <c r="G69" s="2180"/>
      <c r="H69" s="2180"/>
      <c r="I69" s="2180"/>
      <c r="J69" s="2180"/>
      <c r="K69" s="2180"/>
      <c r="L69" s="2180"/>
      <c r="M69" s="2180"/>
      <c r="N69" s="2180"/>
      <c r="O69" s="2180"/>
      <c r="P69" s="2180"/>
      <c r="Q69" s="2180"/>
      <c r="R69" s="2180"/>
      <c r="S69" s="2180"/>
      <c r="T69" s="2180"/>
      <c r="U69" s="2180"/>
      <c r="V69" s="2180"/>
      <c r="W69" s="2180"/>
      <c r="AR69" s="106">
        <v>0</v>
      </c>
    </row>
    <row customHeight="1" ht="36.75">
      <c r="E70" s="2178" t="s">
        <v>212</v>
      </c>
      <c r="F70" s="2178"/>
      <c r="G70" s="2179"/>
      <c r="H70" s="2179"/>
      <c r="I70" s="2179"/>
      <c r="J70" s="2179"/>
      <c r="K70" s="2179"/>
      <c r="L70" s="2179"/>
      <c r="M70" s="2179"/>
      <c r="N70" s="2179"/>
      <c r="O70" s="2179"/>
      <c r="P70" s="2179"/>
      <c r="Q70" s="2179"/>
      <c r="R70" s="2179"/>
      <c r="S70" s="2179"/>
      <c r="T70" s="2179"/>
      <c r="U70" s="2179"/>
      <c r="V70" s="2179"/>
      <c r="W70" s="2179"/>
      <c r="AR70" s="106">
        <v>0</v>
      </c>
    </row>
    <row customHeight="1" ht="28.5">
      <c r="E71" s="2178" t="s">
        <v>213</v>
      </c>
      <c r="F71" s="2178"/>
      <c r="G71" s="2179"/>
      <c r="H71" s="2179"/>
      <c r="I71" s="2179"/>
      <c r="J71" s="2179"/>
      <c r="K71" s="2179"/>
      <c r="L71" s="2179"/>
      <c r="M71" s="2179"/>
      <c r="N71" s="2179"/>
      <c r="O71" s="2179"/>
      <c r="P71" s="2179"/>
      <c r="Q71" s="2179"/>
      <c r="R71" s="2179"/>
      <c r="S71" s="2179"/>
      <c r="T71" s="2179"/>
      <c r="U71" s="2179"/>
      <c r="V71" s="2179"/>
      <c r="W71" s="2179"/>
      <c r="AR71" s="106">
        <v>0</v>
      </c>
    </row>
    <row customHeight="1" ht="27">
      <c r="E72" s="2178" t="s">
        <v>214</v>
      </c>
      <c r="F72" s="2178"/>
      <c r="G72" s="2179"/>
      <c r="H72" s="2179"/>
      <c r="I72" s="2179"/>
      <c r="J72" s="2179"/>
      <c r="K72" s="2179"/>
      <c r="L72" s="2179"/>
      <c r="M72" s="2179"/>
      <c r="N72" s="2179"/>
      <c r="O72" s="2179"/>
      <c r="P72" s="2179"/>
      <c r="Q72" s="2179"/>
      <c r="R72" s="2179"/>
      <c r="S72" s="2179"/>
      <c r="T72" s="2179"/>
      <c r="U72" s="2179"/>
      <c r="V72" s="2179"/>
      <c r="W72" s="2179"/>
      <c r="AR72" s="106">
        <v>0</v>
      </c>
    </row>
    <row customHeight="1" ht="17.25">
      <c r="E73" s="2178" t="s">
        <v>215</v>
      </c>
      <c r="F73" s="2178"/>
      <c r="G73" s="2179"/>
      <c r="H73" s="2179"/>
      <c r="I73" s="2179"/>
      <c r="J73" s="2179"/>
      <c r="K73" s="2179"/>
      <c r="L73" s="2179"/>
      <c r="M73" s="2179"/>
      <c r="N73" s="2179"/>
      <c r="O73" s="2179"/>
      <c r="P73" s="2179"/>
      <c r="Q73" s="2179"/>
      <c r="R73" s="2179"/>
      <c r="S73" s="2179"/>
      <c r="T73" s="2179"/>
      <c r="U73" s="2179"/>
      <c r="V73" s="2179"/>
      <c r="W73" s="2179"/>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80" t="s">
        <v>216</v>
      </c>
      <c r="F75" s="2180"/>
      <c r="G75" s="2180"/>
      <c r="H75" s="2180"/>
      <c r="I75" s="2180"/>
      <c r="J75" s="2180"/>
      <c r="K75" s="2180"/>
      <c r="L75" s="2180"/>
      <c r="M75" s="2180"/>
      <c r="N75" s="2180"/>
      <c r="O75" s="2180"/>
      <c r="P75" s="2180"/>
      <c r="Q75" s="2180"/>
      <c r="R75" s="2180"/>
      <c r="S75" s="2180"/>
      <c r="T75" s="2180"/>
      <c r="U75" s="2180"/>
      <c r="V75" s="2180"/>
      <c r="W75" s="2180"/>
      <c r="AR75" s="106">
        <v>0</v>
      </c>
    </row>
    <row customHeight="1" ht="17.25">
      <c r="E76" s="2178" t="s">
        <v>217</v>
      </c>
      <c r="F76" s="2178"/>
      <c r="G76" s="2179"/>
      <c r="H76" s="2179"/>
      <c r="I76" s="2179"/>
      <c r="J76" s="2179"/>
      <c r="K76" s="2179"/>
      <c r="L76" s="2179"/>
      <c r="M76" s="2179"/>
      <c r="N76" s="2179"/>
      <c r="O76" s="2179"/>
      <c r="P76" s="2179"/>
      <c r="Q76" s="2179"/>
      <c r="R76" s="2179"/>
      <c r="S76" s="2179"/>
      <c r="T76" s="2179"/>
      <c r="U76" s="2179"/>
      <c r="V76" s="2179"/>
      <c r="W76" s="2179"/>
      <c r="AR76" s="106">
        <v>0</v>
      </c>
    </row>
    <row customHeight="1" ht="17.25">
      <c r="E77" s="2178" t="s">
        <v>218</v>
      </c>
      <c r="F77" s="2178"/>
      <c r="G77" s="2179"/>
      <c r="H77" s="2179"/>
      <c r="I77" s="2179"/>
      <c r="J77" s="2179"/>
      <c r="K77" s="2179"/>
      <c r="L77" s="2179"/>
      <c r="M77" s="2179"/>
      <c r="N77" s="2179"/>
      <c r="O77" s="2179"/>
      <c r="P77" s="2179"/>
      <c r="Q77" s="2179"/>
      <c r="R77" s="2179"/>
      <c r="S77" s="2179"/>
      <c r="T77" s="2179"/>
      <c r="U77" s="2179"/>
      <c r="V77" s="2179"/>
      <c r="W77" s="2179"/>
      <c r="AR77" s="106">
        <v>0</v>
      </c>
    </row>
    <row s="1852" customFormat="1" customHeight="1" ht="11.25">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2" customFormat="1" customHeight="1" ht="17.25">
      <c r="A79" s="323"/>
      <c r="C79" s="211"/>
      <c r="D79" s="2173">
        <v>1</v>
      </c>
      <c r="E79" s="2162" t="s">
        <v>219</v>
      </c>
      <c r="F79" s="2175" t="s">
        <v>19</v>
      </c>
      <c r="G79" s="2162"/>
      <c r="H79" s="2164"/>
      <c r="I79" s="2166"/>
      <c r="J79" s="2168"/>
      <c r="K79" s="2160"/>
      <c r="L79" s="2160"/>
      <c r="M79" s="2160"/>
      <c r="N79" s="2171"/>
      <c r="O79" s="2160"/>
      <c r="P79" s="2160"/>
      <c r="Q79" s="2160"/>
      <c r="R79" s="2158"/>
      <c r="S79" s="2160"/>
      <c r="T79" s="1472"/>
      <c r="U79" s="1472"/>
      <c r="V79" s="1474"/>
      <c r="W79" s="1298"/>
      <c r="Y79" s="1269"/>
      <c r="Z79" s="1269"/>
      <c r="AA79" s="1269"/>
      <c r="AB79" s="1269"/>
      <c r="AC79" s="1269" t="s">
        <v>220</v>
      </c>
      <c r="AD79" s="1269" t="s">
        <v>221</v>
      </c>
      <c r="AE79" s="1269" t="s">
        <v>222</v>
      </c>
      <c r="AF79" s="1269" t="s">
        <v>223</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2" customFormat="1" customHeight="1" ht="17.25">
      <c r="A80" s="323"/>
      <c r="C80" s="322"/>
      <c r="D80" s="2173"/>
      <c r="E80" s="2162"/>
      <c r="F80" s="2176"/>
      <c r="G80" s="2162"/>
      <c r="H80" s="2165"/>
      <c r="I80" s="2167"/>
      <c r="J80" s="2169"/>
      <c r="K80" s="2161"/>
      <c r="L80" s="2161"/>
      <c r="M80" s="2161"/>
      <c r="N80" s="2172"/>
      <c r="O80" s="2161"/>
      <c r="P80" s="2161"/>
      <c r="Q80" s="2161"/>
      <c r="R80" s="2159"/>
      <c r="S80" s="2161"/>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2" customFormat="1" customHeight="1" ht="17.25">
      <c r="A81" s="323"/>
      <c r="C81" s="211"/>
      <c r="D81" s="2173"/>
      <c r="E81" s="2162"/>
      <c r="F81" s="2176"/>
      <c r="G81" s="2162"/>
      <c r="H81" s="2165"/>
      <c r="I81" s="2167"/>
      <c r="J81" s="2170"/>
      <c r="K81" s="2161"/>
      <c r="L81" s="2161"/>
      <c r="M81" s="2161"/>
      <c r="N81" s="2159"/>
      <c r="O81" s="2161"/>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2" customFormat="1" customHeight="1" ht="17.25">
      <c r="A82" s="323"/>
      <c r="C82" s="322"/>
      <c r="D82" s="2173"/>
      <c r="E82" s="2162"/>
      <c r="F82" s="2176"/>
      <c r="G82" s="2162"/>
      <c r="H82" s="2165"/>
      <c r="I82" s="2167"/>
      <c r="J82" s="2170"/>
      <c r="K82" s="2161"/>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2" customFormat="1" customHeight="1" ht="17.25">
      <c r="A83" s="323"/>
      <c r="C83" s="322"/>
      <c r="D83" s="2174"/>
      <c r="E83" s="2163"/>
      <c r="F83" s="2177"/>
      <c r="G83" s="2163"/>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2" customFormat="1" customHeight="1" ht="17.25">
      <c r="A84" s="323"/>
      <c r="C84" s="211"/>
      <c r="D84" s="2173">
        <v>2</v>
      </c>
      <c r="E84" s="2162" t="s">
        <v>224</v>
      </c>
      <c r="F84" s="2175" t="s">
        <v>19</v>
      </c>
      <c r="G84" s="2162"/>
      <c r="H84" s="2164"/>
      <c r="I84" s="2166"/>
      <c r="J84" s="2168"/>
      <c r="K84" s="2160"/>
      <c r="L84" s="2160"/>
      <c r="M84" s="2160"/>
      <c r="N84" s="2171"/>
      <c r="O84" s="2160"/>
      <c r="P84" s="2160"/>
      <c r="Q84" s="2160"/>
      <c r="R84" s="2158"/>
      <c r="S84" s="2160"/>
      <c r="T84" s="1445"/>
      <c r="U84" s="1445"/>
      <c r="V84" s="1447"/>
      <c r="W84" s="1298"/>
      <c r="X84" s="1269"/>
      <c r="Y84" s="1269"/>
      <c r="Z84" s="1269"/>
      <c r="AA84" s="1269"/>
      <c r="AB84" s="1269"/>
      <c r="AC84" s="1269" t="s">
        <v>225</v>
      </c>
      <c r="AD84" s="1269" t="s">
        <v>226</v>
      </c>
      <c r="AE84" s="1269" t="s">
        <v>227</v>
      </c>
      <c r="AF84" s="1269" t="s">
        <v>228</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3">
        <f>$I$84</f>
        <v>0</v>
      </c>
      <c r="AO84" s="1269" t="str">
        <f>$I$84&amp;"."&amp;$M$84</f>
        <v>.</v>
      </c>
      <c r="AP84" s="1261" t="str">
        <f>$I$84&amp;"."&amp;$M$84&amp;"."&amp;$Q$84</f>
        <v>..</v>
      </c>
      <c r="AQ84" s="1261" t="str">
        <f>$I$84&amp;"."&amp;$M$84&amp;"."&amp;$Q$84&amp;"."&amp;$U$84</f>
        <v>...</v>
      </c>
      <c r="AR84" s="1352">
        <v>0</v>
      </c>
    </row>
    <row s="1852" customFormat="1" customHeight="1" ht="17.25">
      <c r="A85" s="323"/>
      <c r="C85" s="322"/>
      <c r="D85" s="2173"/>
      <c r="E85" s="2162"/>
      <c r="F85" s="2176"/>
      <c r="G85" s="2162"/>
      <c r="H85" s="2165"/>
      <c r="I85" s="2167"/>
      <c r="J85" s="2169"/>
      <c r="K85" s="2161"/>
      <c r="L85" s="2161"/>
      <c r="M85" s="2161"/>
      <c r="N85" s="2172"/>
      <c r="O85" s="2161"/>
      <c r="P85" s="2161"/>
      <c r="Q85" s="2161"/>
      <c r="R85" s="2159"/>
      <c r="S85" s="2161"/>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2" customFormat="1" customHeight="1" ht="17.25">
      <c r="A86" s="323"/>
      <c r="C86" s="322"/>
      <c r="D86" s="2174"/>
      <c r="E86" s="2163"/>
      <c r="F86" s="2176"/>
      <c r="G86" s="2163"/>
      <c r="H86" s="2165"/>
      <c r="I86" s="2167"/>
      <c r="J86" s="2170"/>
      <c r="K86" s="2161"/>
      <c r="L86" s="2161"/>
      <c r="M86" s="2161"/>
      <c r="N86" s="2159"/>
      <c r="O86" s="2161"/>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2" customFormat="1" customHeight="1" ht="17.25">
      <c r="A87" s="323"/>
      <c r="C87" s="322"/>
      <c r="D87" s="2174"/>
      <c r="E87" s="2163"/>
      <c r="F87" s="2176"/>
      <c r="G87" s="2163"/>
      <c r="H87" s="2165"/>
      <c r="I87" s="2167"/>
      <c r="J87" s="2170"/>
      <c r="K87" s="2161"/>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2" customFormat="1" customHeight="1" ht="17.25">
      <c r="A88" s="323"/>
      <c r="C88" s="322"/>
      <c r="D88" s="2174"/>
      <c r="E88" s="2163"/>
      <c r="F88" s="2177"/>
      <c r="G88" s="2163"/>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2" customFormat="1" customHeight="1" ht="17.25">
      <c r="A89" s="323"/>
      <c r="C89" s="211"/>
      <c r="D89" s="2173">
        <v>3</v>
      </c>
      <c r="E89" s="2162" t="s">
        <v>229</v>
      </c>
      <c r="F89" s="2175" t="s">
        <v>19</v>
      </c>
      <c r="G89" s="2162"/>
      <c r="H89" s="2164"/>
      <c r="I89" s="2166"/>
      <c r="J89" s="2168"/>
      <c r="K89" s="2160"/>
      <c r="L89" s="2160"/>
      <c r="M89" s="2160"/>
      <c r="N89" s="2171"/>
      <c r="O89" s="2160"/>
      <c r="P89" s="2160"/>
      <c r="Q89" s="2160"/>
      <c r="R89" s="2158"/>
      <c r="S89" s="2160"/>
      <c r="T89" s="1445"/>
      <c r="U89" s="1445"/>
      <c r="V89" s="1447"/>
      <c r="W89" s="1298"/>
      <c r="X89" s="1269"/>
      <c r="Y89" s="1269"/>
      <c r="Z89" s="1269"/>
      <c r="AA89" s="1269"/>
      <c r="AB89" s="1269"/>
      <c r="AC89" s="1269" t="s">
        <v>230</v>
      </c>
      <c r="AD89" s="1269" t="s">
        <v>231</v>
      </c>
      <c r="AE89" s="1269" t="s">
        <v>232</v>
      </c>
      <c r="AF89" s="1269" t="s">
        <v>233</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3">
        <f>$I$89</f>
        <v>0</v>
      </c>
      <c r="AO89" s="1269" t="str">
        <f>$I$89&amp;"."&amp;$M$89</f>
        <v>.</v>
      </c>
      <c r="AP89" s="1261" t="str">
        <f>$I$89&amp;"."&amp;$M$89&amp;"."&amp;$Q$89</f>
        <v>..</v>
      </c>
      <c r="AQ89" s="1261" t="str">
        <f>$I$89&amp;"."&amp;$M$89&amp;"."&amp;$Q$89&amp;"."&amp;$U$89</f>
        <v>...</v>
      </c>
      <c r="AR89" s="1352">
        <v>0</v>
      </c>
    </row>
    <row s="1852" customFormat="1" customHeight="1" ht="17.25">
      <c r="A90" s="323"/>
      <c r="C90" s="322"/>
      <c r="D90" s="2173"/>
      <c r="E90" s="2162"/>
      <c r="F90" s="2176"/>
      <c r="G90" s="2162"/>
      <c r="H90" s="2165"/>
      <c r="I90" s="2167"/>
      <c r="J90" s="2169"/>
      <c r="K90" s="2161"/>
      <c r="L90" s="2161"/>
      <c r="M90" s="2161"/>
      <c r="N90" s="2172"/>
      <c r="O90" s="2161"/>
      <c r="P90" s="2161"/>
      <c r="Q90" s="2161"/>
      <c r="R90" s="2159"/>
      <c r="S90" s="2161"/>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2" customFormat="1" customHeight="1" ht="17.25">
      <c r="A91" s="323"/>
      <c r="C91" s="322"/>
      <c r="D91" s="2174"/>
      <c r="E91" s="2163"/>
      <c r="F91" s="2176"/>
      <c r="G91" s="2163"/>
      <c r="H91" s="2165"/>
      <c r="I91" s="2167"/>
      <c r="J91" s="2170"/>
      <c r="K91" s="2161"/>
      <c r="L91" s="2161"/>
      <c r="M91" s="2161"/>
      <c r="N91" s="2159"/>
      <c r="O91" s="2161"/>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2" customFormat="1" customHeight="1" ht="17.25">
      <c r="A92" s="323"/>
      <c r="C92" s="322"/>
      <c r="D92" s="2174"/>
      <c r="E92" s="2163"/>
      <c r="F92" s="2176"/>
      <c r="G92" s="2163"/>
      <c r="H92" s="2165"/>
      <c r="I92" s="2167"/>
      <c r="J92" s="2170"/>
      <c r="K92" s="2161"/>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2" customFormat="1" customHeight="1" ht="17.25">
      <c r="A93" s="323"/>
      <c r="C93" s="322"/>
      <c r="D93" s="2174"/>
      <c r="E93" s="2163"/>
      <c r="F93" s="2177"/>
      <c r="G93" s="2163"/>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2" customFormat="1" customHeight="1" ht="17.25">
      <c r="A94" s="323"/>
      <c r="C94" s="211"/>
      <c r="D94" s="2173">
        <v>4</v>
      </c>
      <c r="E94" s="2162" t="s">
        <v>234</v>
      </c>
      <c r="F94" s="2175" t="s">
        <v>19</v>
      </c>
      <c r="G94" s="2162"/>
      <c r="H94" s="2164"/>
      <c r="I94" s="2166"/>
      <c r="J94" s="2168"/>
      <c r="K94" s="2160"/>
      <c r="L94" s="2160"/>
      <c r="M94" s="2160"/>
      <c r="N94" s="2171"/>
      <c r="O94" s="2160"/>
      <c r="P94" s="2160"/>
      <c r="Q94" s="2160"/>
      <c r="R94" s="2158"/>
      <c r="S94" s="2160"/>
      <c r="T94" s="1445"/>
      <c r="U94" s="1445"/>
      <c r="V94" s="1447"/>
      <c r="W94" s="1298"/>
      <c r="X94" s="1269"/>
      <c r="Y94" s="1269"/>
      <c r="Z94" s="1269"/>
      <c r="AA94" s="1269"/>
      <c r="AB94" s="1269"/>
      <c r="AC94" s="1269" t="s">
        <v>235</v>
      </c>
      <c r="AD94" s="1269" t="s">
        <v>236</v>
      </c>
      <c r="AE94" s="1269" t="s">
        <v>237</v>
      </c>
      <c r="AF94" s="1269" t="s">
        <v>238</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3">
        <f>$I$94</f>
        <v>0</v>
      </c>
      <c r="AO94" s="1269" t="str">
        <f>$I$94&amp;"."&amp;$M$94</f>
        <v>.</v>
      </c>
      <c r="AP94" s="1261" t="str">
        <f>$I$94&amp;"."&amp;$M$94&amp;"."&amp;$Q$94</f>
        <v>..</v>
      </c>
      <c r="AQ94" s="1261" t="str">
        <f>$I$94&amp;"."&amp;$M$94&amp;"."&amp;$Q$94&amp;"."&amp;$U$94</f>
        <v>...</v>
      </c>
      <c r="AR94" s="1352">
        <v>0</v>
      </c>
    </row>
    <row s="1852" customFormat="1" customHeight="1" ht="17.25">
      <c r="A95" s="323"/>
      <c r="C95" s="322"/>
      <c r="D95" s="2173"/>
      <c r="E95" s="2162"/>
      <c r="F95" s="2176"/>
      <c r="G95" s="2162"/>
      <c r="H95" s="2165"/>
      <c r="I95" s="2167"/>
      <c r="J95" s="2169"/>
      <c r="K95" s="2161"/>
      <c r="L95" s="2161"/>
      <c r="M95" s="2161"/>
      <c r="N95" s="2172"/>
      <c r="O95" s="2161"/>
      <c r="P95" s="2161"/>
      <c r="Q95" s="2161"/>
      <c r="R95" s="2159"/>
      <c r="S95" s="2161"/>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2" customFormat="1" customHeight="1" ht="17.25">
      <c r="A96" s="323"/>
      <c r="C96" s="322"/>
      <c r="D96" s="2174"/>
      <c r="E96" s="2163"/>
      <c r="F96" s="2176"/>
      <c r="G96" s="2163"/>
      <c r="H96" s="2165"/>
      <c r="I96" s="2167"/>
      <c r="J96" s="2170"/>
      <c r="K96" s="2161"/>
      <c r="L96" s="2161"/>
      <c r="M96" s="2161"/>
      <c r="N96" s="2159"/>
      <c r="O96" s="2161"/>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2" customFormat="1" customHeight="1" ht="17.25">
      <c r="A97" s="323"/>
      <c r="C97" s="322"/>
      <c r="D97" s="2174"/>
      <c r="E97" s="2163"/>
      <c r="F97" s="2176"/>
      <c r="G97" s="2163"/>
      <c r="H97" s="2165"/>
      <c r="I97" s="2167"/>
      <c r="J97" s="2170"/>
      <c r="K97" s="2161"/>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2" customFormat="1" customHeight="1" ht="17.25">
      <c r="A98" s="323"/>
      <c r="C98" s="322"/>
      <c r="D98" s="2174"/>
      <c r="E98" s="2163"/>
      <c r="F98" s="2177"/>
      <c r="G98" s="2163"/>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2" customFormat="1" customHeight="1" ht="17.25">
      <c r="A99" s="323"/>
      <c r="C99" s="211"/>
      <c r="D99" s="2173">
        <v>5</v>
      </c>
      <c r="E99" s="2162" t="s">
        <v>239</v>
      </c>
      <c r="F99" s="2175" t="s">
        <v>19</v>
      </c>
      <c r="G99" s="2162"/>
      <c r="H99" s="2164"/>
      <c r="I99" s="2166"/>
      <c r="J99" s="2168"/>
      <c r="K99" s="2160"/>
      <c r="L99" s="2160"/>
      <c r="M99" s="2160"/>
      <c r="N99" s="2171"/>
      <c r="O99" s="2160"/>
      <c r="P99" s="2160"/>
      <c r="Q99" s="2160"/>
      <c r="R99" s="2158"/>
      <c r="S99" s="2160"/>
      <c r="T99" s="1942"/>
      <c r="U99" s="1942"/>
      <c r="V99" s="1944"/>
      <c r="W99" s="1298"/>
      <c r="X99" s="1269"/>
      <c r="Y99" s="1269"/>
      <c r="Z99" s="1269"/>
      <c r="AA99" s="1269"/>
      <c r="AB99" s="1269"/>
      <c r="AC99" s="1269" t="s">
        <v>240</v>
      </c>
      <c r="AD99" s="1269" t="s">
        <v>241</v>
      </c>
      <c r="AE99" s="1269" t="s">
        <v>242</v>
      </c>
      <c r="AF99" s="1269" t="s">
        <v>243</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3">
        <f>$I$99</f>
        <v>0</v>
      </c>
      <c r="AO99" s="1269" t="str">
        <f>$I$99&amp;"."&amp;$M$99</f>
        <v>.</v>
      </c>
      <c r="AP99" s="1268" t="str">
        <f>$I$99&amp;"."&amp;$M$99&amp;"."&amp;$Q$99</f>
        <v>..</v>
      </c>
      <c r="AQ99" s="1268" t="str">
        <f>$I$99&amp;"."&amp;$M$99&amp;"."&amp;$Q$99&amp;"."&amp;$U$99</f>
        <v>...</v>
      </c>
      <c r="AR99" s="1469">
        <v>0</v>
      </c>
    </row>
    <row s="1852" customFormat="1" customHeight="1" ht="17.25">
      <c r="A100" s="323"/>
      <c r="C100" s="322"/>
      <c r="D100" s="2173"/>
      <c r="E100" s="2162"/>
      <c r="F100" s="2176"/>
      <c r="G100" s="2162"/>
      <c r="H100" s="2165"/>
      <c r="I100" s="2167"/>
      <c r="J100" s="2169"/>
      <c r="K100" s="2161"/>
      <c r="L100" s="2161"/>
      <c r="M100" s="2161"/>
      <c r="N100" s="2172"/>
      <c r="O100" s="2161"/>
      <c r="P100" s="2161"/>
      <c r="Q100" s="2161"/>
      <c r="R100" s="2159"/>
      <c r="S100" s="2161"/>
      <c r="T100" s="1947"/>
      <c r="U100" s="1947"/>
      <c r="V100" s="1947"/>
      <c r="W100" s="1948"/>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2" customFormat="1" customHeight="1" ht="17.25">
      <c r="A101" s="323"/>
      <c r="C101" s="322"/>
      <c r="D101" s="2174"/>
      <c r="E101" s="2163"/>
      <c r="F101" s="2176"/>
      <c r="G101" s="2163"/>
      <c r="H101" s="2165"/>
      <c r="I101" s="2167"/>
      <c r="J101" s="2170"/>
      <c r="K101" s="2161"/>
      <c r="L101" s="2161"/>
      <c r="M101" s="2161"/>
      <c r="N101" s="2159"/>
      <c r="O101" s="2161"/>
      <c r="P101" s="1943"/>
      <c r="Q101" s="1947"/>
      <c r="R101" s="1947"/>
      <c r="S101" s="331"/>
      <c r="T101" s="331"/>
      <c r="U101" s="331"/>
      <c r="V101" s="331"/>
      <c r="W101" s="1948"/>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2" customFormat="1" customHeight="1" ht="17.25">
      <c r="A102" s="323"/>
      <c r="C102" s="322"/>
      <c r="D102" s="2174"/>
      <c r="E102" s="2163"/>
      <c r="F102" s="2176"/>
      <c r="G102" s="2163"/>
      <c r="H102" s="2165"/>
      <c r="I102" s="2167"/>
      <c r="J102" s="2170"/>
      <c r="K102" s="2161"/>
      <c r="L102" s="1947"/>
      <c r="M102" s="1947"/>
      <c r="N102" s="1947"/>
      <c r="O102" s="1947"/>
      <c r="P102" s="1947"/>
      <c r="Q102" s="1947"/>
      <c r="R102" s="1947"/>
      <c r="S102" s="331"/>
      <c r="T102" s="331"/>
      <c r="U102" s="331"/>
      <c r="V102" s="331"/>
      <c r="W102" s="1948"/>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2" customFormat="1" customHeight="1" ht="17.25">
      <c r="A103" s="323"/>
      <c r="C103" s="322"/>
      <c r="D103" s="2174"/>
      <c r="E103" s="2163"/>
      <c r="F103" s="2177"/>
      <c r="G103" s="2163"/>
      <c r="H103" s="1301"/>
      <c r="I103" s="1945"/>
      <c r="J103" s="1945"/>
      <c r="K103" s="1945"/>
      <c r="L103" s="1945"/>
      <c r="M103" s="1945"/>
      <c r="N103" s="1945"/>
      <c r="O103" s="1945"/>
      <c r="P103" s="1945"/>
      <c r="Q103" s="1945"/>
      <c r="R103" s="1945"/>
      <c r="S103" s="1303"/>
      <c r="T103" s="1303"/>
      <c r="U103" s="1303"/>
      <c r="V103" s="1303"/>
      <c r="W103" s="1946"/>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2" customFormat="1" customHeight="1" ht="11.25">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2" customFormat="1" customHeight="1" ht="17.25">
      <c r="A105" s="323"/>
      <c r="C105" s="211"/>
      <c r="D105" s="2173">
        <v>1</v>
      </c>
      <c r="E105" s="2162" t="s">
        <v>244</v>
      </c>
      <c r="F105" s="2175" t="s">
        <v>19</v>
      </c>
      <c r="G105" s="2162"/>
      <c r="H105" s="2164"/>
      <c r="I105" s="2166"/>
      <c r="J105" s="2168"/>
      <c r="K105" s="2160"/>
      <c r="L105" s="2160"/>
      <c r="M105" s="2160"/>
      <c r="N105" s="2171"/>
      <c r="O105" s="2160"/>
      <c r="P105" s="2160"/>
      <c r="Q105" s="2160"/>
      <c r="R105" s="2158"/>
      <c r="S105" s="2160"/>
      <c r="T105" s="1472"/>
      <c r="U105" s="1472"/>
      <c r="V105" s="1474"/>
      <c r="W105" s="1298"/>
      <c r="Y105" s="1269"/>
      <c r="Z105" s="1269"/>
      <c r="AA105" s="1269"/>
      <c r="AB105" s="1269"/>
      <c r="AC105" s="1269" t="s">
        <v>245</v>
      </c>
      <c r="AD105" s="1269" t="s">
        <v>246</v>
      </c>
      <c r="AE105" s="1269" t="s">
        <v>247</v>
      </c>
      <c r="AF105" s="1269" t="s">
        <v>248</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2" customFormat="1" customHeight="1" ht="17.25">
      <c r="A106" s="323"/>
      <c r="C106" s="322"/>
      <c r="D106" s="2173"/>
      <c r="E106" s="2162"/>
      <c r="F106" s="2176"/>
      <c r="G106" s="2162"/>
      <c r="H106" s="2165"/>
      <c r="I106" s="2167"/>
      <c r="J106" s="2169"/>
      <c r="K106" s="2161"/>
      <c r="L106" s="2161"/>
      <c r="M106" s="2161"/>
      <c r="N106" s="2172"/>
      <c r="O106" s="2161"/>
      <c r="P106" s="2161"/>
      <c r="Q106" s="2161"/>
      <c r="R106" s="2159"/>
      <c r="S106" s="2161"/>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2" customFormat="1" customHeight="1" ht="17.25">
      <c r="A107" s="323"/>
      <c r="C107" s="211"/>
      <c r="D107" s="2173"/>
      <c r="E107" s="2162"/>
      <c r="F107" s="2176"/>
      <c r="G107" s="2162"/>
      <c r="H107" s="2165"/>
      <c r="I107" s="2167"/>
      <c r="J107" s="2170"/>
      <c r="K107" s="2161"/>
      <c r="L107" s="2161"/>
      <c r="M107" s="2161"/>
      <c r="N107" s="2159"/>
      <c r="O107" s="2161"/>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2" customFormat="1" customHeight="1" ht="17.25">
      <c r="A108" s="323"/>
      <c r="C108" s="322"/>
      <c r="D108" s="2173"/>
      <c r="E108" s="2162"/>
      <c r="F108" s="2176"/>
      <c r="G108" s="2162"/>
      <c r="H108" s="2165"/>
      <c r="I108" s="2167"/>
      <c r="J108" s="2170"/>
      <c r="K108" s="2161"/>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2" customFormat="1" customHeight="1" ht="17.25">
      <c r="A109" s="323"/>
      <c r="C109" s="322"/>
      <c r="D109" s="2174"/>
      <c r="E109" s="2163"/>
      <c r="F109" s="2177"/>
      <c r="G109" s="2163"/>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2" customFormat="1" customHeight="1" ht="17.25">
      <c r="A110" s="323"/>
      <c r="C110" s="211"/>
      <c r="D110" s="2173">
        <v>2</v>
      </c>
      <c r="E110" s="2162" t="s">
        <v>249</v>
      </c>
      <c r="F110" s="2175" t="s">
        <v>19</v>
      </c>
      <c r="G110" s="2162"/>
      <c r="H110" s="2164"/>
      <c r="I110" s="2166"/>
      <c r="J110" s="2168"/>
      <c r="K110" s="2160"/>
      <c r="L110" s="2160"/>
      <c r="M110" s="2160"/>
      <c r="N110" s="2171"/>
      <c r="O110" s="2160"/>
      <c r="P110" s="2160"/>
      <c r="Q110" s="2160"/>
      <c r="R110" s="2158"/>
      <c r="S110" s="2160"/>
      <c r="T110" s="1472"/>
      <c r="U110" s="1472"/>
      <c r="V110" s="1474"/>
      <c r="W110" s="1298"/>
      <c r="X110" s="1269"/>
      <c r="Y110" s="1269"/>
      <c r="Z110" s="1269"/>
      <c r="AA110" s="1269"/>
      <c r="AB110" s="1269"/>
      <c r="AC110" s="1269" t="s">
        <v>250</v>
      </c>
      <c r="AD110" s="1269" t="s">
        <v>251</v>
      </c>
      <c r="AE110" s="1269" t="s">
        <v>252</v>
      </c>
      <c r="AF110" s="1269" t="s">
        <v>253</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3">
        <f>$I$110</f>
        <v>0</v>
      </c>
      <c r="AO110" s="1269" t="str">
        <f>$I$110&amp;"."&amp;$M$110</f>
        <v>.</v>
      </c>
      <c r="AP110" s="1261" t="str">
        <f>$I$110&amp;"."&amp;$M$110&amp;"."&amp;$Q$110</f>
        <v>..</v>
      </c>
      <c r="AQ110" s="1261" t="str">
        <f>$I$110&amp;"."&amp;$M$110&amp;"."&amp;$Q$110&amp;"."&amp;$U$110</f>
        <v>...</v>
      </c>
      <c r="AR110" s="1469">
        <v>0</v>
      </c>
    </row>
    <row s="1852" customFormat="1" customHeight="1" ht="17.25">
      <c r="A111" s="323"/>
      <c r="C111" s="322"/>
      <c r="D111" s="2173"/>
      <c r="E111" s="2162"/>
      <c r="F111" s="2176"/>
      <c r="G111" s="2162"/>
      <c r="H111" s="2165"/>
      <c r="I111" s="2167"/>
      <c r="J111" s="2169"/>
      <c r="K111" s="2161"/>
      <c r="L111" s="2161"/>
      <c r="M111" s="2161"/>
      <c r="N111" s="2172"/>
      <c r="O111" s="2161"/>
      <c r="P111" s="2161"/>
      <c r="Q111" s="2161"/>
      <c r="R111" s="2159"/>
      <c r="S111" s="2161"/>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2" customFormat="1" customHeight="1" ht="17.25">
      <c r="A112" s="323"/>
      <c r="C112" s="322"/>
      <c r="D112" s="2174"/>
      <c r="E112" s="2163"/>
      <c r="F112" s="2176"/>
      <c r="G112" s="2163"/>
      <c r="H112" s="2165"/>
      <c r="I112" s="2167"/>
      <c r="J112" s="2170"/>
      <c r="K112" s="2161"/>
      <c r="L112" s="2161"/>
      <c r="M112" s="2161"/>
      <c r="N112" s="2159"/>
      <c r="O112" s="2161"/>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2" customFormat="1" customHeight="1" ht="17.25">
      <c r="A113" s="323"/>
      <c r="C113" s="322"/>
      <c r="D113" s="2174"/>
      <c r="E113" s="2163"/>
      <c r="F113" s="2176"/>
      <c r="G113" s="2163"/>
      <c r="H113" s="2165"/>
      <c r="I113" s="2167"/>
      <c r="J113" s="2170"/>
      <c r="K113" s="2161"/>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2" customFormat="1" customHeight="1" ht="17.25">
      <c r="A114" s="323"/>
      <c r="C114" s="322"/>
      <c r="D114" s="2174"/>
      <c r="E114" s="2163"/>
      <c r="F114" s="2177"/>
      <c r="G114" s="2163"/>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2" customFormat="1" customHeight="1" ht="17.25">
      <c r="A115" s="323"/>
      <c r="C115" s="211"/>
      <c r="D115" s="2173">
        <v>3</v>
      </c>
      <c r="E115" s="2162" t="s">
        <v>254</v>
      </c>
      <c r="F115" s="2175" t="s">
        <v>19</v>
      </c>
      <c r="G115" s="2162"/>
      <c r="H115" s="2164"/>
      <c r="I115" s="2166"/>
      <c r="J115" s="2168"/>
      <c r="K115" s="2160"/>
      <c r="L115" s="2160"/>
      <c r="M115" s="2160"/>
      <c r="N115" s="2171"/>
      <c r="O115" s="2160"/>
      <c r="P115" s="2160"/>
      <c r="Q115" s="2160"/>
      <c r="R115" s="2158"/>
      <c r="S115" s="2160"/>
      <c r="T115" s="1942"/>
      <c r="U115" s="1942"/>
      <c r="V115" s="1944"/>
      <c r="W115" s="1298"/>
      <c r="X115" s="1269"/>
      <c r="Y115" s="1269"/>
      <c r="Z115" s="1269"/>
      <c r="AA115" s="1269"/>
      <c r="AB115" s="1269"/>
      <c r="AC115" s="1269" t="s">
        <v>255</v>
      </c>
      <c r="AD115" s="1269" t="s">
        <v>256</v>
      </c>
      <c r="AE115" s="1269" t="s">
        <v>257</v>
      </c>
      <c r="AF115" s="1269" t="s">
        <v>258</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3">
        <f>$I$115</f>
        <v>0</v>
      </c>
      <c r="AO115" s="1269" t="str">
        <f>$I$115&amp;"."&amp;$M$115</f>
        <v>.</v>
      </c>
      <c r="AP115" s="1268" t="str">
        <f>$I$115&amp;"."&amp;$M$115&amp;"."&amp;$Q$115</f>
        <v>..</v>
      </c>
      <c r="AQ115" s="1268" t="str">
        <f>$I$115&amp;"."&amp;$M$115&amp;"."&amp;$Q$115&amp;"."&amp;$U$115</f>
        <v>...</v>
      </c>
      <c r="AR115" s="1469">
        <v>0</v>
      </c>
    </row>
    <row s="1852" customFormat="1" customHeight="1" ht="17.25">
      <c r="A116" s="323"/>
      <c r="C116" s="322"/>
      <c r="D116" s="2173"/>
      <c r="E116" s="2162"/>
      <c r="F116" s="2176"/>
      <c r="G116" s="2162"/>
      <c r="H116" s="2165"/>
      <c r="I116" s="2167"/>
      <c r="J116" s="2169"/>
      <c r="K116" s="2161"/>
      <c r="L116" s="2161"/>
      <c r="M116" s="2161"/>
      <c r="N116" s="2172"/>
      <c r="O116" s="2161"/>
      <c r="P116" s="2161"/>
      <c r="Q116" s="2161"/>
      <c r="R116" s="2159"/>
      <c r="S116" s="2161"/>
      <c r="T116" s="1947"/>
      <c r="U116" s="1947"/>
      <c r="V116" s="1947"/>
      <c r="W116" s="1948"/>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2" customFormat="1" customHeight="1" ht="17.25">
      <c r="A117" s="323"/>
      <c r="C117" s="322"/>
      <c r="D117" s="2174"/>
      <c r="E117" s="2163"/>
      <c r="F117" s="2176"/>
      <c r="G117" s="2163"/>
      <c r="H117" s="2165"/>
      <c r="I117" s="2167"/>
      <c r="J117" s="2170"/>
      <c r="K117" s="2161"/>
      <c r="L117" s="2161"/>
      <c r="M117" s="2161"/>
      <c r="N117" s="2159"/>
      <c r="O117" s="2161"/>
      <c r="P117" s="1943"/>
      <c r="Q117" s="1947"/>
      <c r="R117" s="1947"/>
      <c r="S117" s="331"/>
      <c r="T117" s="331"/>
      <c r="U117" s="331"/>
      <c r="V117" s="331"/>
      <c r="W117" s="1948"/>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2" customFormat="1" customHeight="1" ht="17.25">
      <c r="A118" s="323"/>
      <c r="C118" s="322"/>
      <c r="D118" s="2174"/>
      <c r="E118" s="2163"/>
      <c r="F118" s="2176"/>
      <c r="G118" s="2163"/>
      <c r="H118" s="2165"/>
      <c r="I118" s="2167"/>
      <c r="J118" s="2170"/>
      <c r="K118" s="2161"/>
      <c r="L118" s="1947"/>
      <c r="M118" s="1947"/>
      <c r="N118" s="1947"/>
      <c r="O118" s="1947"/>
      <c r="P118" s="1947"/>
      <c r="Q118" s="1947"/>
      <c r="R118" s="1947"/>
      <c r="S118" s="331"/>
      <c r="T118" s="331"/>
      <c r="U118" s="331"/>
      <c r="V118" s="331"/>
      <c r="W118" s="1948"/>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2" customFormat="1" customHeight="1" ht="17.25">
      <c r="A119" s="323"/>
      <c r="C119" s="322"/>
      <c r="D119" s="2174"/>
      <c r="E119" s="2163"/>
      <c r="F119" s="2177"/>
      <c r="G119" s="2163"/>
      <c r="H119" s="1301"/>
      <c r="I119" s="1945"/>
      <c r="J119" s="1945"/>
      <c r="K119" s="1945"/>
      <c r="L119" s="1945"/>
      <c r="M119" s="1945"/>
      <c r="N119" s="1945"/>
      <c r="O119" s="1945"/>
      <c r="P119" s="1945"/>
      <c r="Q119" s="1945"/>
      <c r="R119" s="1945"/>
      <c r="S119" s="1303"/>
      <c r="T119" s="1303"/>
      <c r="U119" s="1303"/>
      <c r="V119" s="1303"/>
      <c r="W119" s="1946"/>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2" customFormat="1" customHeight="1" ht="11.25">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2" customFormat="1" customHeight="1" ht="17.25">
      <c r="A121" s="323"/>
      <c r="C121" s="211"/>
      <c r="D121" s="2173">
        <v>1</v>
      </c>
      <c r="E121" s="2162" t="s">
        <v>259</v>
      </c>
      <c r="F121" s="2175" t="s">
        <v>19</v>
      </c>
      <c r="G121" s="2162"/>
      <c r="H121" s="2164"/>
      <c r="I121" s="2166"/>
      <c r="J121" s="2168"/>
      <c r="K121" s="2160"/>
      <c r="L121" s="2160"/>
      <c r="M121" s="2160"/>
      <c r="N121" s="2171"/>
      <c r="O121" s="2160"/>
      <c r="P121" s="2160"/>
      <c r="Q121" s="2160"/>
      <c r="R121" s="2158"/>
      <c r="S121" s="2160"/>
      <c r="T121" s="1472"/>
      <c r="U121" s="1472"/>
      <c r="V121" s="1474"/>
      <c r="W121" s="1298"/>
      <c r="Y121" s="1269"/>
      <c r="Z121" s="1269"/>
      <c r="AA121" s="1269"/>
      <c r="AB121" s="1269"/>
      <c r="AC121" s="1269" t="s">
        <v>260</v>
      </c>
      <c r="AD121" s="1269" t="s">
        <v>261</v>
      </c>
      <c r="AE121" s="1269" t="s">
        <v>262</v>
      </c>
      <c r="AF121" s="1269" t="s">
        <v>263</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2" customFormat="1" customHeight="1" ht="17.25">
      <c r="A122" s="323"/>
      <c r="C122" s="322"/>
      <c r="D122" s="2173"/>
      <c r="E122" s="2162"/>
      <c r="F122" s="2176"/>
      <c r="G122" s="2162"/>
      <c r="H122" s="2165"/>
      <c r="I122" s="2167"/>
      <c r="J122" s="2169"/>
      <c r="K122" s="2161"/>
      <c r="L122" s="2161"/>
      <c r="M122" s="2161"/>
      <c r="N122" s="2172"/>
      <c r="O122" s="2161"/>
      <c r="P122" s="2161"/>
      <c r="Q122" s="2161"/>
      <c r="R122" s="2159"/>
      <c r="S122" s="2161"/>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2" customFormat="1" customHeight="1" ht="17.25">
      <c r="A123" s="323"/>
      <c r="C123" s="211"/>
      <c r="D123" s="2173"/>
      <c r="E123" s="2162"/>
      <c r="F123" s="2176"/>
      <c r="G123" s="2162"/>
      <c r="H123" s="2165"/>
      <c r="I123" s="2167"/>
      <c r="J123" s="2170"/>
      <c r="K123" s="2161"/>
      <c r="L123" s="2161"/>
      <c r="M123" s="2161"/>
      <c r="N123" s="2159"/>
      <c r="O123" s="2161"/>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2" customFormat="1" customHeight="1" ht="17.25">
      <c r="A124" s="323"/>
      <c r="C124" s="322"/>
      <c r="D124" s="2173"/>
      <c r="E124" s="2162"/>
      <c r="F124" s="2176"/>
      <c r="G124" s="2162"/>
      <c r="H124" s="2165"/>
      <c r="I124" s="2167"/>
      <c r="J124" s="2170"/>
      <c r="K124" s="2161"/>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2" customFormat="1" customHeight="1" ht="17.25">
      <c r="A125" s="323"/>
      <c r="C125" s="322"/>
      <c r="D125" s="2174"/>
      <c r="E125" s="2163"/>
      <c r="F125" s="2177"/>
      <c r="G125" s="2163"/>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2" customFormat="1" customHeight="1" ht="17.25">
      <c r="A126" s="323"/>
      <c r="C126" s="211"/>
      <c r="D126" s="2173">
        <v>2</v>
      </c>
      <c r="E126" s="2162" t="s">
        <v>264</v>
      </c>
      <c r="F126" s="2175" t="s">
        <v>19</v>
      </c>
      <c r="G126" s="2162"/>
      <c r="H126" s="2164"/>
      <c r="I126" s="2166"/>
      <c r="J126" s="2168"/>
      <c r="K126" s="2160"/>
      <c r="L126" s="2160"/>
      <c r="M126" s="2160"/>
      <c r="N126" s="2171"/>
      <c r="O126" s="2160"/>
      <c r="P126" s="2160"/>
      <c r="Q126" s="2160"/>
      <c r="R126" s="2158"/>
      <c r="S126" s="2160"/>
      <c r="T126" s="1472"/>
      <c r="U126" s="1472"/>
      <c r="V126" s="1474"/>
      <c r="W126" s="1298"/>
      <c r="X126" s="1269"/>
      <c r="Y126" s="1269"/>
      <c r="Z126" s="1269"/>
      <c r="AA126" s="1269"/>
      <c r="AB126" s="1269"/>
      <c r="AC126" s="1269" t="s">
        <v>265</v>
      </c>
      <c r="AD126" s="1269" t="s">
        <v>266</v>
      </c>
      <c r="AE126" s="1269" t="s">
        <v>267</v>
      </c>
      <c r="AF126" s="1269" t="s">
        <v>268</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3">
        <f>$I$126</f>
        <v>0</v>
      </c>
      <c r="AO126" s="1269" t="str">
        <f>$I$126&amp;"."&amp;$M$126</f>
        <v>.</v>
      </c>
      <c r="AP126" s="1261" t="str">
        <f>$I$126&amp;"."&amp;$M$126&amp;"."&amp;$Q$126</f>
        <v>..</v>
      </c>
      <c r="AQ126" s="1261" t="str">
        <f>$I$126&amp;"."&amp;$M$126&amp;"."&amp;$Q$126&amp;"."&amp;$U$126</f>
        <v>...</v>
      </c>
      <c r="AR126" s="1469">
        <v>0</v>
      </c>
    </row>
    <row s="1852" customFormat="1" customHeight="1" ht="17.25">
      <c r="A127" s="323"/>
      <c r="C127" s="322"/>
      <c r="D127" s="2173"/>
      <c r="E127" s="2162"/>
      <c r="F127" s="2176"/>
      <c r="G127" s="2162"/>
      <c r="H127" s="2165"/>
      <c r="I127" s="2167"/>
      <c r="J127" s="2169"/>
      <c r="K127" s="2161"/>
      <c r="L127" s="2161"/>
      <c r="M127" s="2161"/>
      <c r="N127" s="2172"/>
      <c r="O127" s="2161"/>
      <c r="P127" s="2161"/>
      <c r="Q127" s="2161"/>
      <c r="R127" s="2159"/>
      <c r="S127" s="2161"/>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2" customFormat="1" customHeight="1" ht="17.25">
      <c r="A128" s="323"/>
      <c r="C128" s="322"/>
      <c r="D128" s="2174"/>
      <c r="E128" s="2163"/>
      <c r="F128" s="2176"/>
      <c r="G128" s="2163"/>
      <c r="H128" s="2165"/>
      <c r="I128" s="2167"/>
      <c r="J128" s="2170"/>
      <c r="K128" s="2161"/>
      <c r="L128" s="2161"/>
      <c r="M128" s="2161"/>
      <c r="N128" s="2159"/>
      <c r="O128" s="2161"/>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2" customFormat="1" customHeight="1" ht="17.25">
      <c r="A129" s="323"/>
      <c r="C129" s="322"/>
      <c r="D129" s="2174"/>
      <c r="E129" s="2163"/>
      <c r="F129" s="2176"/>
      <c r="G129" s="2163"/>
      <c r="H129" s="2165"/>
      <c r="I129" s="2167"/>
      <c r="J129" s="2170"/>
      <c r="K129" s="2161"/>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2" customFormat="1" customHeight="1" ht="17.25">
      <c r="A130" s="323"/>
      <c r="C130" s="322"/>
      <c r="D130" s="2174"/>
      <c r="E130" s="2163"/>
      <c r="F130" s="2177"/>
      <c r="G130" s="2163"/>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2" customFormat="1" customHeight="1" ht="17.25">
      <c r="A131" s="323"/>
      <c r="C131" s="211"/>
      <c r="D131" s="2173">
        <v>3</v>
      </c>
      <c r="E131" s="2162" t="s">
        <v>269</v>
      </c>
      <c r="F131" s="2175" t="s">
        <v>19</v>
      </c>
      <c r="G131" s="2162"/>
      <c r="H131" s="2164"/>
      <c r="I131" s="2166"/>
      <c r="J131" s="2168"/>
      <c r="K131" s="2160"/>
      <c r="L131" s="2160"/>
      <c r="M131" s="2160"/>
      <c r="N131" s="2171"/>
      <c r="O131" s="2160"/>
      <c r="P131" s="2160"/>
      <c r="Q131" s="2160"/>
      <c r="R131" s="2158"/>
      <c r="S131" s="2160"/>
      <c r="T131" s="1942"/>
      <c r="U131" s="1942"/>
      <c r="V131" s="1944"/>
      <c r="W131" s="1298"/>
      <c r="X131" s="1269"/>
      <c r="Y131" s="1269"/>
      <c r="Z131" s="1269"/>
      <c r="AA131" s="1269"/>
      <c r="AB131" s="1269"/>
      <c r="AC131" s="1269" t="s">
        <v>270</v>
      </c>
      <c r="AD131" s="1269" t="s">
        <v>271</v>
      </c>
      <c r="AE131" s="1269" t="s">
        <v>272</v>
      </c>
      <c r="AF131" s="1269" t="s">
        <v>273</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3">
        <f>$I$131</f>
        <v>0</v>
      </c>
      <c r="AO131" s="1269" t="str">
        <f>$I$131&amp;"."&amp;$M$131</f>
        <v>.</v>
      </c>
      <c r="AP131" s="1268" t="str">
        <f>$I$131&amp;"."&amp;$M$131&amp;"."&amp;$Q$131</f>
        <v>..</v>
      </c>
      <c r="AQ131" s="1268" t="str">
        <f>$I$131&amp;"."&amp;$M$131&amp;"."&amp;$Q$131&amp;"."&amp;$U$131</f>
        <v>...</v>
      </c>
      <c r="AR131" s="1469">
        <v>0</v>
      </c>
    </row>
    <row s="1852" customFormat="1" customHeight="1" ht="17.25">
      <c r="A132" s="323"/>
      <c r="C132" s="322"/>
      <c r="D132" s="2173"/>
      <c r="E132" s="2162"/>
      <c r="F132" s="2176"/>
      <c r="G132" s="2162"/>
      <c r="H132" s="2165"/>
      <c r="I132" s="2167"/>
      <c r="J132" s="2169"/>
      <c r="K132" s="2161"/>
      <c r="L132" s="2161"/>
      <c r="M132" s="2161"/>
      <c r="N132" s="2172"/>
      <c r="O132" s="2161"/>
      <c r="P132" s="2161"/>
      <c r="Q132" s="2161"/>
      <c r="R132" s="2159"/>
      <c r="S132" s="2161"/>
      <c r="T132" s="1947"/>
      <c r="U132" s="1947"/>
      <c r="V132" s="1947"/>
      <c r="W132" s="1948"/>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2" customFormat="1" customHeight="1" ht="17.25">
      <c r="A133" s="323"/>
      <c r="C133" s="322"/>
      <c r="D133" s="2174"/>
      <c r="E133" s="2163"/>
      <c r="F133" s="2176"/>
      <c r="G133" s="2163"/>
      <c r="H133" s="2165"/>
      <c r="I133" s="2167"/>
      <c r="J133" s="2170"/>
      <c r="K133" s="2161"/>
      <c r="L133" s="2161"/>
      <c r="M133" s="2161"/>
      <c r="N133" s="2159"/>
      <c r="O133" s="2161"/>
      <c r="P133" s="1943"/>
      <c r="Q133" s="1947"/>
      <c r="R133" s="1947"/>
      <c r="S133" s="331"/>
      <c r="T133" s="331"/>
      <c r="U133" s="331"/>
      <c r="V133" s="331"/>
      <c r="W133" s="1948"/>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2" customFormat="1" customHeight="1" ht="17.25">
      <c r="A134" s="323"/>
      <c r="C134" s="322"/>
      <c r="D134" s="2174"/>
      <c r="E134" s="2163"/>
      <c r="F134" s="2176"/>
      <c r="G134" s="2163"/>
      <c r="H134" s="2165"/>
      <c r="I134" s="2167"/>
      <c r="J134" s="2170"/>
      <c r="K134" s="2161"/>
      <c r="L134" s="1947"/>
      <c r="M134" s="1947"/>
      <c r="N134" s="1947"/>
      <c r="O134" s="1947"/>
      <c r="P134" s="1947"/>
      <c r="Q134" s="1947"/>
      <c r="R134" s="1947"/>
      <c r="S134" s="331"/>
      <c r="T134" s="331"/>
      <c r="U134" s="331"/>
      <c r="V134" s="331"/>
      <c r="W134" s="1948"/>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2" customFormat="1" customHeight="1" ht="17.25">
      <c r="A135" s="323"/>
      <c r="C135" s="322"/>
      <c r="D135" s="2174"/>
      <c r="E135" s="2163"/>
      <c r="F135" s="2177"/>
      <c r="G135" s="2163"/>
      <c r="H135" s="1301"/>
      <c r="I135" s="1945"/>
      <c r="J135" s="1945"/>
      <c r="K135" s="1945"/>
      <c r="L135" s="1945"/>
      <c r="M135" s="1945"/>
      <c r="N135" s="1945"/>
      <c r="O135" s="1945"/>
      <c r="P135" s="1945"/>
      <c r="Q135" s="1945"/>
      <c r="R135" s="1945"/>
      <c r="S135" s="1303"/>
      <c r="T135" s="1303"/>
      <c r="U135" s="1303"/>
      <c r="V135" s="1303"/>
      <c r="W135" s="1946"/>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0DFE8-0CE8-0A48-AD18-EDDDAD274AF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49" width="9.140625" hidden="1"/>
    <col min="3" max="4" style="1849" width="3.00390625" customWidth="1"/>
    <col min="5" max="6" style="1849" width="15.00390625" customWidth="1"/>
    <col min="7" max="7" style="1849" width="11.57421875" customWidth="1"/>
    <col min="8" max="9" style="1849" width="3.00390625" customWidth="1"/>
    <col min="10" max="10" style="1849" width="12.00390625" customWidth="1"/>
    <col min="11" max="11" style="1849" width="0.28125" customWidth="1"/>
    <col min="12" max="13" style="1849" width="10.00390625" customWidth="1"/>
    <col min="14" max="15" style="1849" width="3.00390625" customWidth="1"/>
    <col min="16" max="16" style="1849" width="19.00390625" customWidth="1"/>
    <col min="17" max="17" style="1849" width="0.28125" customWidth="1"/>
    <col min="18" max="19" style="1849" width="10.00390625" customWidth="1"/>
    <col min="20" max="21" style="1849" width="3.00390625" customWidth="1"/>
    <col min="22" max="22" style="1849" width="25.00390625" customWidth="1"/>
    <col min="23" max="23" style="1849" width="0.28125" customWidth="1"/>
    <col min="24" max="25" style="1849" width="10.00390625" customWidth="1"/>
    <col min="26" max="27" style="1849" width="3.00390625" customWidth="1"/>
    <col min="28" max="28" style="1849" width="16.00390625" customWidth="1"/>
    <col min="29" max="29" style="1849" width="0.28125" customWidth="1"/>
    <col min="30" max="31" style="1849" width="10.00390625" customWidth="1"/>
    <col min="32" max="33" style="1849" width="3.00390625" customWidth="1"/>
    <col min="34" max="34" style="1849" width="8.00390625" customWidth="1"/>
    <col min="35" max="35" style="1849" width="21.00390625" customWidth="1"/>
    <col min="36" max="36" style="1849" width="8.00390625" customWidth="1"/>
    <col min="37" max="37" style="360" width="8.00390625" customWidth="1"/>
    <col min="38" max="64" style="1849" width="8.00390625" customWidth="1"/>
    <col min="65" max="65" style="1849"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274</v>
      </c>
      <c r="M2" s="1555" t="s">
        <v>275</v>
      </c>
      <c r="R2" s="1555" t="s">
        <v>276</v>
      </c>
      <c r="S2" s="1555" t="s">
        <v>275</v>
      </c>
      <c r="X2" s="1555" t="s">
        <v>274</v>
      </c>
      <c r="Y2" s="1555" t="s">
        <v>275</v>
      </c>
      <c r="AD2" s="1555" t="s">
        <v>274</v>
      </c>
      <c r="AE2" s="1555" t="s">
        <v>275</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0" customFormat="1" customHeight="1" ht="34.5">
      <c r="A4" s="1158"/>
      <c r="B4" s="1157"/>
      <c r="C4" s="1517"/>
      <c r="D4" s="2198" t="s">
        <v>277</v>
      </c>
      <c r="E4" s="2198"/>
      <c r="F4" s="2198"/>
      <c r="G4" s="2198"/>
      <c r="H4" s="2198"/>
      <c r="I4" s="2198"/>
      <c r="J4" s="2198"/>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0" customFormat="1" customHeight="1" ht="14.699999999999998">
      <c r="A5" s="1634"/>
      <c r="B5" s="1633"/>
      <c r="C5" s="1517"/>
      <c r="D5" s="2224" t="str">
        <f>IF(org=0,"Не определено",org)</f>
        <v>Муниципальное унитарное предприятие "Невельские коммунальные сети"</v>
      </c>
      <c r="E5" s="2224"/>
      <c r="F5" s="2224"/>
      <c r="G5" s="2224"/>
      <c r="H5" s="2224"/>
      <c r="I5" s="2224"/>
      <c r="J5" s="2224"/>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0"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40" t="s">
        <v>88</v>
      </c>
      <c r="E8" s="2140" t="s">
        <v>102</v>
      </c>
      <c r="F8" s="2200" t="s">
        <v>119</v>
      </c>
      <c r="G8" s="2201"/>
      <c r="H8" s="2200" t="s">
        <v>88</v>
      </c>
      <c r="I8" s="2201"/>
      <c r="J8" s="2140" t="s">
        <v>120</v>
      </c>
      <c r="K8" s="1558"/>
      <c r="L8" s="2204" t="s">
        <v>278</v>
      </c>
      <c r="M8" s="2204"/>
      <c r="N8" s="2204"/>
      <c r="O8" s="2204"/>
      <c r="P8" s="2204"/>
      <c r="Q8" s="1559"/>
      <c r="R8" s="2119" t="s">
        <v>279</v>
      </c>
      <c r="S8" s="2205"/>
      <c r="T8" s="2205"/>
      <c r="U8" s="2205"/>
      <c r="V8" s="2205"/>
      <c r="W8" s="1559"/>
      <c r="X8" s="2206" t="s">
        <v>280</v>
      </c>
      <c r="Y8" s="2206"/>
      <c r="Z8" s="2206"/>
      <c r="AA8" s="2206"/>
      <c r="AB8" s="2206"/>
      <c r="AC8" s="1560"/>
      <c r="AD8" s="2140" t="s">
        <v>281</v>
      </c>
      <c r="AE8" s="2140"/>
      <c r="AF8" s="2140"/>
      <c r="AG8" s="2140"/>
      <c r="AH8" s="2124"/>
      <c r="AI8" s="2140" t="s">
        <v>282</v>
      </c>
      <c r="AJ8" s="1576"/>
      <c r="BM8" s="295">
        <v>32</v>
      </c>
    </row>
    <row customHeight="1" ht="23.25">
      <c r="D9" s="2140"/>
      <c r="E9" s="2140"/>
      <c r="F9" s="2199" t="s">
        <v>89</v>
      </c>
      <c r="G9" s="2199" t="s">
        <v>125</v>
      </c>
      <c r="H9" s="2202"/>
      <c r="I9" s="2203"/>
      <c r="J9" s="2124"/>
      <c r="K9" s="1561"/>
      <c r="L9" s="2140" t="s">
        <v>283</v>
      </c>
      <c r="M9" s="2124"/>
      <c r="N9" s="2200" t="s">
        <v>88</v>
      </c>
      <c r="O9" s="2201"/>
      <c r="P9" s="2140" t="s">
        <v>126</v>
      </c>
      <c r="Q9" s="1558"/>
      <c r="R9" s="2140" t="s">
        <v>283</v>
      </c>
      <c r="S9" s="2124"/>
      <c r="T9" s="2200" t="s">
        <v>88</v>
      </c>
      <c r="U9" s="2201"/>
      <c r="V9" s="2140" t="s">
        <v>126</v>
      </c>
      <c r="W9" s="1558"/>
      <c r="X9" s="2140" t="s">
        <v>283</v>
      </c>
      <c r="Y9" s="2124"/>
      <c r="Z9" s="2200" t="s">
        <v>88</v>
      </c>
      <c r="AA9" s="2201"/>
      <c r="AB9" s="2140" t="s">
        <v>284</v>
      </c>
      <c r="AC9" s="1558"/>
      <c r="AD9" s="2140" t="s">
        <v>283</v>
      </c>
      <c r="AE9" s="2124"/>
      <c r="AF9" s="2200" t="s">
        <v>88</v>
      </c>
      <c r="AG9" s="2201"/>
      <c r="AH9" s="2124" t="s">
        <v>284</v>
      </c>
      <c r="AI9" s="2140"/>
      <c r="AJ9" s="1576"/>
      <c r="BM9" s="295">
        <v>22</v>
      </c>
    </row>
    <row customHeight="1" ht="24">
      <c r="D10" s="2199"/>
      <c r="E10" s="2199"/>
      <c r="F10" s="2207"/>
      <c r="G10" s="2207"/>
      <c r="H10" s="2208"/>
      <c r="I10" s="2209"/>
      <c r="J10" s="2200"/>
      <c r="K10" s="1561"/>
      <c r="L10" s="1580" t="s">
        <v>285</v>
      </c>
      <c r="M10" s="1575" t="s">
        <v>286</v>
      </c>
      <c r="N10" s="2202"/>
      <c r="O10" s="2203"/>
      <c r="P10" s="2199"/>
      <c r="Q10" s="1558"/>
      <c r="R10" s="1580" t="s">
        <v>285</v>
      </c>
      <c r="S10" s="1575" t="s">
        <v>286</v>
      </c>
      <c r="T10" s="2202"/>
      <c r="U10" s="2203"/>
      <c r="V10" s="2199"/>
      <c r="W10" s="1558"/>
      <c r="X10" s="1580" t="s">
        <v>285</v>
      </c>
      <c r="Y10" s="1575" t="s">
        <v>286</v>
      </c>
      <c r="Z10" s="2202"/>
      <c r="AA10" s="2203"/>
      <c r="AB10" s="2199"/>
      <c r="AC10" s="1558"/>
      <c r="AD10" s="1580" t="s">
        <v>285</v>
      </c>
      <c r="AE10" s="1575" t="s">
        <v>286</v>
      </c>
      <c r="AF10" s="2202"/>
      <c r="AG10" s="2203"/>
      <c r="AH10" s="2200"/>
      <c r="AI10" s="2199"/>
      <c r="AJ10" s="1576"/>
      <c r="AK10" s="256" t="s">
        <v>287</v>
      </c>
      <c r="AL10" s="256" t="s">
        <v>127</v>
      </c>
      <c r="BM10" s="295">
        <v>23</v>
      </c>
    </row>
    <row customHeight="1" ht="15">
      <c r="D11" s="2210" t="s">
        <v>106</v>
      </c>
      <c r="E11" s="2212" t="s">
        <v>288</v>
      </c>
      <c r="F11" s="2212" t="s">
        <v>289</v>
      </c>
      <c r="G11" s="2215" t="s">
        <v>19</v>
      </c>
      <c r="H11" s="1601"/>
      <c r="I11" s="2217"/>
      <c r="J11" s="2168"/>
      <c r="K11" s="1516"/>
      <c r="L11" s="2160"/>
      <c r="M11" s="2160"/>
      <c r="N11" s="1586"/>
      <c r="O11" s="2160"/>
      <c r="P11" s="2168"/>
      <c r="Q11" s="1587"/>
      <c r="R11" s="2160"/>
      <c r="S11" s="2160"/>
      <c r="T11" s="1588"/>
      <c r="U11" s="2160"/>
      <c r="V11" s="2168"/>
      <c r="W11" s="1589"/>
      <c r="X11" s="2160"/>
      <c r="Y11" s="2160"/>
      <c r="Z11" s="1586"/>
      <c r="AA11" s="2160"/>
      <c r="AB11" s="2168"/>
      <c r="AC11" s="1590"/>
      <c r="AD11" s="2160"/>
      <c r="AE11" s="2160"/>
      <c r="AF11" s="1515"/>
      <c r="AG11" s="1515"/>
      <c r="AH11" s="1591"/>
      <c r="AI11" s="1298"/>
      <c r="AJ11" s="1576"/>
      <c r="BM11" s="295">
        <v>14</v>
      </c>
    </row>
    <row customHeight="1" ht="14.699999999999998">
      <c r="D12" s="2210"/>
      <c r="E12" s="2212"/>
      <c r="F12" s="2212"/>
      <c r="G12" s="2216"/>
      <c r="H12" s="1602"/>
      <c r="I12" s="2218"/>
      <c r="J12" s="2169"/>
      <c r="K12" s="1612"/>
      <c r="L12" s="2161"/>
      <c r="M12" s="2161"/>
      <c r="N12" s="1592"/>
      <c r="O12" s="2161"/>
      <c r="P12" s="2169"/>
      <c r="Q12" s="1593"/>
      <c r="R12" s="2161"/>
      <c r="S12" s="2161"/>
      <c r="T12" s="1594"/>
      <c r="U12" s="2161"/>
      <c r="V12" s="2169"/>
      <c r="W12" s="1595"/>
      <c r="X12" s="2161"/>
      <c r="Y12" s="2161"/>
      <c r="Z12" s="1592"/>
      <c r="AA12" s="2161"/>
      <c r="AB12" s="2169"/>
      <c r="AC12" s="1596"/>
      <c r="AD12" s="2161"/>
      <c r="AE12" s="2161"/>
      <c r="AF12" s="1597"/>
      <c r="AG12" s="1597"/>
      <c r="AH12" s="2221"/>
      <c r="AI12" s="2222"/>
      <c r="AJ12" s="1576"/>
      <c r="BM12" s="295">
        <v>14</v>
      </c>
    </row>
    <row customHeight="1" ht="14.699999999999998">
      <c r="D13" s="2210"/>
      <c r="E13" s="2212"/>
      <c r="F13" s="2212"/>
      <c r="G13" s="2216"/>
      <c r="H13" s="1602"/>
      <c r="I13" s="2218"/>
      <c r="J13" s="2169"/>
      <c r="K13" s="1612"/>
      <c r="L13" s="2161"/>
      <c r="M13" s="2161"/>
      <c r="N13" s="1592"/>
      <c r="O13" s="2161"/>
      <c r="P13" s="2169"/>
      <c r="Q13" s="1593"/>
      <c r="R13" s="2161"/>
      <c r="S13" s="2161"/>
      <c r="T13" s="1594"/>
      <c r="U13" s="2161"/>
      <c r="V13" s="2169"/>
      <c r="W13" s="1595"/>
      <c r="X13" s="2161"/>
      <c r="Y13" s="2161"/>
      <c r="Z13" s="1514"/>
      <c r="AA13" s="1597"/>
      <c r="AB13" s="2221"/>
      <c r="AC13" s="2221"/>
      <c r="AD13" s="2221"/>
      <c r="AE13" s="2221"/>
      <c r="AF13" s="2221"/>
      <c r="AG13" s="2221"/>
      <c r="AH13" s="2221"/>
      <c r="AI13" s="2222"/>
      <c r="AJ13" s="1576"/>
      <c r="BM13" s="295">
        <v>14</v>
      </c>
    </row>
    <row customHeight="1" ht="14.699999999999998">
      <c r="D14" s="2210"/>
      <c r="E14" s="2212"/>
      <c r="F14" s="2212"/>
      <c r="G14" s="2216"/>
      <c r="H14" s="1602"/>
      <c r="I14" s="2218"/>
      <c r="J14" s="2169"/>
      <c r="K14" s="1612"/>
      <c r="L14" s="2161"/>
      <c r="M14" s="2161"/>
      <c r="N14" s="1592"/>
      <c r="O14" s="2161"/>
      <c r="P14" s="2169"/>
      <c r="Q14" s="1593"/>
      <c r="R14" s="2161"/>
      <c r="S14" s="2161"/>
      <c r="T14" s="1598"/>
      <c r="U14" s="1599"/>
      <c r="V14" s="2221"/>
      <c r="W14" s="2221"/>
      <c r="X14" s="2221"/>
      <c r="Y14" s="2221"/>
      <c r="Z14" s="2221"/>
      <c r="AA14" s="2221"/>
      <c r="AB14" s="2221"/>
      <c r="AC14" s="2221"/>
      <c r="AD14" s="2221"/>
      <c r="AE14" s="2221"/>
      <c r="AF14" s="2221"/>
      <c r="AG14" s="2221"/>
      <c r="AH14" s="2221"/>
      <c r="AI14" s="2222"/>
      <c r="AJ14" s="1576"/>
      <c r="BM14" s="295">
        <v>14</v>
      </c>
    </row>
    <row customHeight="1" ht="11.549999999999999">
      <c r="D15" s="2210"/>
      <c r="E15" s="2212"/>
      <c r="F15" s="2212"/>
      <c r="G15" s="2216"/>
      <c r="H15" s="1603"/>
      <c r="I15" s="2218"/>
      <c r="J15" s="2169"/>
      <c r="K15" s="1612"/>
      <c r="L15" s="2161"/>
      <c r="M15" s="2161"/>
      <c r="N15" s="1597"/>
      <c r="O15" s="1597"/>
      <c r="P15" s="2221"/>
      <c r="Q15" s="2221"/>
      <c r="R15" s="2221"/>
      <c r="S15" s="2221"/>
      <c r="T15" s="2221"/>
      <c r="U15" s="2221"/>
      <c r="V15" s="2221"/>
      <c r="W15" s="2221"/>
      <c r="X15" s="2221"/>
      <c r="Y15" s="2221"/>
      <c r="Z15" s="2221"/>
      <c r="AA15" s="2221"/>
      <c r="AB15" s="2221"/>
      <c r="AC15" s="2221"/>
      <c r="AD15" s="2221"/>
      <c r="AE15" s="2221"/>
      <c r="AF15" s="2221"/>
      <c r="AG15" s="2221"/>
      <c r="AH15" s="2221"/>
      <c r="AI15" s="2222"/>
      <c r="AJ15" s="1576"/>
      <c r="BM15" s="295">
        <v>11</v>
      </c>
    </row>
    <row s="1556" customFormat="1" customHeight="1" ht="11.549999999999999">
      <c r="D16" s="2211"/>
      <c r="E16" s="2213"/>
      <c r="F16" s="2214"/>
      <c r="G16" s="2155"/>
      <c r="H16" s="1600"/>
      <c r="I16" s="1604"/>
      <c r="J16" s="2219"/>
      <c r="K16" s="2219"/>
      <c r="L16" s="2219"/>
      <c r="M16" s="2219"/>
      <c r="N16" s="2219"/>
      <c r="O16" s="2219"/>
      <c r="P16" s="2219"/>
      <c r="Q16" s="2219"/>
      <c r="R16" s="2219"/>
      <c r="S16" s="2219"/>
      <c r="T16" s="2219"/>
      <c r="U16" s="2219"/>
      <c r="V16" s="2219"/>
      <c r="W16" s="2219"/>
      <c r="X16" s="2219"/>
      <c r="Y16" s="2219"/>
      <c r="Z16" s="2219"/>
      <c r="AA16" s="2219"/>
      <c r="AB16" s="2219"/>
      <c r="AC16" s="2219"/>
      <c r="AD16" s="2219"/>
      <c r="AE16" s="2219"/>
      <c r="AF16" s="2219"/>
      <c r="AG16" s="2219"/>
      <c r="AH16" s="2219"/>
      <c r="AI16" s="222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210" t="s">
        <v>107</v>
      </c>
      <c r="E17" s="2212" t="s">
        <v>288</v>
      </c>
      <c r="F17" s="2212" t="s">
        <v>290</v>
      </c>
      <c r="G17" s="2215" t="s">
        <v>19</v>
      </c>
      <c r="H17" s="1601"/>
      <c r="I17" s="2217"/>
      <c r="J17" s="2168"/>
      <c r="K17" s="1516"/>
      <c r="L17" s="2160"/>
      <c r="M17" s="2160"/>
      <c r="N17" s="1586"/>
      <c r="O17" s="2160"/>
      <c r="P17" s="2168"/>
      <c r="Q17" s="1587"/>
      <c r="R17" s="2160"/>
      <c r="S17" s="2160"/>
      <c r="T17" s="1588"/>
      <c r="U17" s="2160"/>
      <c r="V17" s="2168"/>
      <c r="W17" s="1589"/>
      <c r="X17" s="2160"/>
      <c r="Y17" s="2160"/>
      <c r="Z17" s="1586"/>
      <c r="AA17" s="2160"/>
      <c r="AB17" s="2168"/>
      <c r="AC17" s="1590"/>
      <c r="AD17" s="2160"/>
      <c r="AE17" s="2160"/>
      <c r="AF17" s="1515"/>
      <c r="AG17" s="1515"/>
      <c r="AH17" s="1591"/>
      <c r="AI17" s="1298"/>
      <c r="AJ17" s="1576"/>
      <c r="BM17" s="295">
        <v>14</v>
      </c>
    </row>
    <row customHeight="1" ht="14.699999999999998">
      <c r="D18" s="2210"/>
      <c r="E18" s="2212"/>
      <c r="F18" s="2212"/>
      <c r="G18" s="2216"/>
      <c r="H18" s="1602"/>
      <c r="I18" s="2218"/>
      <c r="J18" s="2169"/>
      <c r="K18" s="1585"/>
      <c r="L18" s="2161"/>
      <c r="M18" s="2161"/>
      <c r="N18" s="1592"/>
      <c r="O18" s="2161"/>
      <c r="P18" s="2169"/>
      <c r="Q18" s="1593"/>
      <c r="R18" s="2161"/>
      <c r="S18" s="2161"/>
      <c r="T18" s="1594"/>
      <c r="U18" s="2161"/>
      <c r="V18" s="2169"/>
      <c r="W18" s="1595"/>
      <c r="X18" s="2161"/>
      <c r="Y18" s="2161"/>
      <c r="Z18" s="1592"/>
      <c r="AA18" s="2161"/>
      <c r="AB18" s="2169"/>
      <c r="AC18" s="1596"/>
      <c r="AD18" s="2161"/>
      <c r="AE18" s="2161"/>
      <c r="AF18" s="1597"/>
      <c r="AG18" s="1597"/>
      <c r="AH18" s="2221"/>
      <c r="AI18" s="2222"/>
      <c r="AJ18" s="1576"/>
      <c r="BM18" s="295">
        <v>14</v>
      </c>
    </row>
    <row customHeight="1" ht="14.699999999999998">
      <c r="D19" s="2210"/>
      <c r="E19" s="2212"/>
      <c r="F19" s="2212"/>
      <c r="G19" s="2216"/>
      <c r="H19" s="1602"/>
      <c r="I19" s="2218"/>
      <c r="J19" s="2169"/>
      <c r="K19" s="1585"/>
      <c r="L19" s="2161"/>
      <c r="M19" s="2161"/>
      <c r="N19" s="1592"/>
      <c r="O19" s="2161"/>
      <c r="P19" s="2169"/>
      <c r="Q19" s="1593"/>
      <c r="R19" s="2161"/>
      <c r="S19" s="2161"/>
      <c r="T19" s="1594"/>
      <c r="U19" s="2161"/>
      <c r="V19" s="2169"/>
      <c r="W19" s="1595"/>
      <c r="X19" s="2161"/>
      <c r="Y19" s="2161"/>
      <c r="Z19" s="1514"/>
      <c r="AA19" s="1597"/>
      <c r="AB19" s="2221"/>
      <c r="AC19" s="2221"/>
      <c r="AD19" s="2221"/>
      <c r="AE19" s="2221"/>
      <c r="AF19" s="2221"/>
      <c r="AG19" s="2221"/>
      <c r="AH19" s="2221"/>
      <c r="AI19" s="2222"/>
      <c r="AJ19" s="1576"/>
      <c r="BM19" s="295">
        <v>14</v>
      </c>
    </row>
    <row customHeight="1" ht="14.699999999999998">
      <c r="D20" s="2210"/>
      <c r="E20" s="2212"/>
      <c r="F20" s="2212"/>
      <c r="G20" s="2216"/>
      <c r="H20" s="1602"/>
      <c r="I20" s="2218"/>
      <c r="J20" s="2169"/>
      <c r="K20" s="1585"/>
      <c r="L20" s="2161"/>
      <c r="M20" s="2161"/>
      <c r="N20" s="1592"/>
      <c r="O20" s="2161"/>
      <c r="P20" s="2169"/>
      <c r="Q20" s="1593"/>
      <c r="R20" s="2161"/>
      <c r="S20" s="2161"/>
      <c r="T20" s="1598"/>
      <c r="U20" s="1599"/>
      <c r="V20" s="2221"/>
      <c r="W20" s="2221"/>
      <c r="X20" s="2221"/>
      <c r="Y20" s="2221"/>
      <c r="Z20" s="2221"/>
      <c r="AA20" s="2221"/>
      <c r="AB20" s="2221"/>
      <c r="AC20" s="2221"/>
      <c r="AD20" s="2221"/>
      <c r="AE20" s="2221"/>
      <c r="AF20" s="2221"/>
      <c r="AG20" s="2221"/>
      <c r="AH20" s="2221"/>
      <c r="AI20" s="2222"/>
      <c r="AJ20" s="1576"/>
      <c r="BM20" s="295">
        <v>14</v>
      </c>
    </row>
    <row customHeight="1" ht="11.549999999999999">
      <c r="D21" s="2210"/>
      <c r="E21" s="2212"/>
      <c r="F21" s="2212"/>
      <c r="G21" s="2216"/>
      <c r="H21" s="1603"/>
      <c r="I21" s="2218"/>
      <c r="J21" s="2169"/>
      <c r="K21" s="1585"/>
      <c r="L21" s="2161"/>
      <c r="M21" s="2161"/>
      <c r="N21" s="1597"/>
      <c r="O21" s="1597"/>
      <c r="P21" s="2221"/>
      <c r="Q21" s="2221"/>
      <c r="R21" s="2221"/>
      <c r="S21" s="2221"/>
      <c r="T21" s="2221"/>
      <c r="U21" s="2221"/>
      <c r="V21" s="2221"/>
      <c r="W21" s="2221"/>
      <c r="X21" s="2221"/>
      <c r="Y21" s="2221"/>
      <c r="Z21" s="2221"/>
      <c r="AA21" s="2221"/>
      <c r="AB21" s="2221"/>
      <c r="AC21" s="2221"/>
      <c r="AD21" s="2221"/>
      <c r="AE21" s="2221"/>
      <c r="AF21" s="2221"/>
      <c r="AG21" s="2221"/>
      <c r="AH21" s="2221"/>
      <c r="AI21" s="2222"/>
      <c r="AJ21" s="1576"/>
      <c r="BM21" s="295">
        <v>11</v>
      </c>
    </row>
    <row s="1556" customFormat="1" customHeight="1" ht="11.549999999999999">
      <c r="D22" s="2211"/>
      <c r="E22" s="2213"/>
      <c r="F22" s="2214"/>
      <c r="G22" s="2155"/>
      <c r="H22" s="1600"/>
      <c r="I22" s="1604"/>
      <c r="J22" s="2219"/>
      <c r="K22" s="2219"/>
      <c r="L22" s="2219"/>
      <c r="M22" s="2219"/>
      <c r="N22" s="2219"/>
      <c r="O22" s="2219"/>
      <c r="P22" s="2219"/>
      <c r="Q22" s="2219"/>
      <c r="R22" s="2219"/>
      <c r="S22" s="2219"/>
      <c r="T22" s="2219"/>
      <c r="U22" s="2219"/>
      <c r="V22" s="2219"/>
      <c r="W22" s="2219"/>
      <c r="X22" s="2219"/>
      <c r="Y22" s="2219"/>
      <c r="Z22" s="2219"/>
      <c r="AA22" s="2219"/>
      <c r="AB22" s="2219"/>
      <c r="AC22" s="2219"/>
      <c r="AD22" s="2219"/>
      <c r="AE22" s="2219"/>
      <c r="AF22" s="2219"/>
      <c r="AG22" s="2219"/>
      <c r="AH22" s="2219"/>
      <c r="AI22" s="222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210" t="s">
        <v>90</v>
      </c>
      <c r="E23" s="2212" t="s">
        <v>288</v>
      </c>
      <c r="F23" s="2212" t="s">
        <v>291</v>
      </c>
      <c r="G23" s="2215" t="s">
        <v>19</v>
      </c>
      <c r="H23" s="1601"/>
      <c r="I23" s="2217"/>
      <c r="J23" s="2168"/>
      <c r="K23" s="1516"/>
      <c r="L23" s="2160"/>
      <c r="M23" s="2160"/>
      <c r="N23" s="1586"/>
      <c r="O23" s="2160"/>
      <c r="P23" s="2168"/>
      <c r="Q23" s="1587"/>
      <c r="R23" s="2160"/>
      <c r="S23" s="2160"/>
      <c r="T23" s="1588"/>
      <c r="U23" s="2160"/>
      <c r="V23" s="2168"/>
      <c r="W23" s="1589"/>
      <c r="X23" s="2160"/>
      <c r="Y23" s="2160"/>
      <c r="Z23" s="1586"/>
      <c r="AA23" s="2160"/>
      <c r="AB23" s="2168"/>
      <c r="AC23" s="1590"/>
      <c r="AD23" s="2160"/>
      <c r="AE23" s="2160"/>
      <c r="AF23" s="1515"/>
      <c r="AG23" s="1515"/>
      <c r="AH23" s="1591"/>
      <c r="AI23" s="1298"/>
      <c r="AJ23" s="1576"/>
      <c r="AK23" s="308" t="s">
        <v>98</v>
      </c>
      <c r="BM23" s="295">
        <v>14</v>
      </c>
    </row>
    <row customHeight="1" ht="14.699999999999998">
      <c r="D24" s="2210"/>
      <c r="E24" s="2212"/>
      <c r="F24" s="2212"/>
      <c r="G24" s="2216"/>
      <c r="H24" s="1602"/>
      <c r="I24" s="2218"/>
      <c r="J24" s="2169"/>
      <c r="K24" s="1612"/>
      <c r="L24" s="2161"/>
      <c r="M24" s="2161"/>
      <c r="N24" s="1592"/>
      <c r="O24" s="2161"/>
      <c r="P24" s="2169"/>
      <c r="Q24" s="1593"/>
      <c r="R24" s="2161"/>
      <c r="S24" s="2161"/>
      <c r="T24" s="1594"/>
      <c r="U24" s="2161"/>
      <c r="V24" s="2169"/>
      <c r="W24" s="1595"/>
      <c r="X24" s="2161"/>
      <c r="Y24" s="2161"/>
      <c r="Z24" s="1592"/>
      <c r="AA24" s="2161"/>
      <c r="AB24" s="2169"/>
      <c r="AC24" s="1596"/>
      <c r="AD24" s="2161"/>
      <c r="AE24" s="2161"/>
      <c r="AF24" s="1597"/>
      <c r="AG24" s="1597"/>
      <c r="AH24" s="2221"/>
      <c r="AI24" s="2222"/>
      <c r="AJ24" s="1576"/>
      <c r="BM24" s="295">
        <v>14</v>
      </c>
    </row>
    <row customHeight="1" ht="14.699999999999998">
      <c r="D25" s="2210"/>
      <c r="E25" s="2212"/>
      <c r="F25" s="2212"/>
      <c r="G25" s="2216"/>
      <c r="H25" s="1602"/>
      <c r="I25" s="2218"/>
      <c r="J25" s="2169"/>
      <c r="K25" s="1612"/>
      <c r="L25" s="2161"/>
      <c r="M25" s="2161"/>
      <c r="N25" s="1592"/>
      <c r="O25" s="2161"/>
      <c r="P25" s="2169"/>
      <c r="Q25" s="1593"/>
      <c r="R25" s="2161"/>
      <c r="S25" s="2161"/>
      <c r="T25" s="1594"/>
      <c r="U25" s="2161"/>
      <c r="V25" s="2169"/>
      <c r="W25" s="1595"/>
      <c r="X25" s="2161"/>
      <c r="Y25" s="2161"/>
      <c r="Z25" s="1514"/>
      <c r="AA25" s="1597"/>
      <c r="AB25" s="2221"/>
      <c r="AC25" s="2221"/>
      <c r="AD25" s="2221"/>
      <c r="AE25" s="2221"/>
      <c r="AF25" s="2221"/>
      <c r="AG25" s="2221"/>
      <c r="AH25" s="2221"/>
      <c r="AI25" s="2222"/>
      <c r="AJ25" s="1576"/>
      <c r="BM25" s="295">
        <v>14</v>
      </c>
    </row>
    <row customHeight="1" ht="14.699999999999998">
      <c r="D26" s="2210"/>
      <c r="E26" s="2212"/>
      <c r="F26" s="2212"/>
      <c r="G26" s="2216"/>
      <c r="H26" s="1602"/>
      <c r="I26" s="2218"/>
      <c r="J26" s="2169"/>
      <c r="K26" s="1612"/>
      <c r="L26" s="2161"/>
      <c r="M26" s="2161"/>
      <c r="N26" s="1592"/>
      <c r="O26" s="2161"/>
      <c r="P26" s="2169"/>
      <c r="Q26" s="1593"/>
      <c r="R26" s="2161"/>
      <c r="S26" s="2161"/>
      <c r="T26" s="1598"/>
      <c r="U26" s="1599"/>
      <c r="V26" s="2221"/>
      <c r="W26" s="2221"/>
      <c r="X26" s="2221"/>
      <c r="Y26" s="2221"/>
      <c r="Z26" s="2221"/>
      <c r="AA26" s="2221"/>
      <c r="AB26" s="2221"/>
      <c r="AC26" s="2221"/>
      <c r="AD26" s="2221"/>
      <c r="AE26" s="2221"/>
      <c r="AF26" s="2221"/>
      <c r="AG26" s="2221"/>
      <c r="AH26" s="2221"/>
      <c r="AI26" s="2222"/>
      <c r="AJ26" s="1576"/>
      <c r="BM26" s="295">
        <v>14</v>
      </c>
    </row>
    <row customHeight="1" ht="11.549999999999999">
      <c r="D27" s="2210"/>
      <c r="E27" s="2212"/>
      <c r="F27" s="2212"/>
      <c r="G27" s="2216"/>
      <c r="H27" s="1603"/>
      <c r="I27" s="2218"/>
      <c r="J27" s="2169"/>
      <c r="K27" s="1612"/>
      <c r="L27" s="2161"/>
      <c r="M27" s="2161"/>
      <c r="N27" s="1597"/>
      <c r="O27" s="1597"/>
      <c r="P27" s="2221"/>
      <c r="Q27" s="2221"/>
      <c r="R27" s="2221"/>
      <c r="S27" s="2221"/>
      <c r="T27" s="2221"/>
      <c r="U27" s="2221"/>
      <c r="V27" s="2221"/>
      <c r="W27" s="2221"/>
      <c r="X27" s="2221"/>
      <c r="Y27" s="2221"/>
      <c r="Z27" s="2221"/>
      <c r="AA27" s="2221"/>
      <c r="AB27" s="2221"/>
      <c r="AC27" s="2221"/>
      <c r="AD27" s="2221"/>
      <c r="AE27" s="2221"/>
      <c r="AF27" s="2221"/>
      <c r="AG27" s="2221"/>
      <c r="AH27" s="2221"/>
      <c r="AI27" s="2222"/>
      <c r="AJ27" s="1576"/>
      <c r="BM27" s="295">
        <v>11</v>
      </c>
    </row>
    <row s="1556" customFormat="1" customHeight="1" ht="11.549999999999999">
      <c r="D28" s="2211"/>
      <c r="E28" s="2213"/>
      <c r="F28" s="2214"/>
      <c r="G28" s="2155"/>
      <c r="H28" s="1600"/>
      <c r="I28" s="1604"/>
      <c r="J28" s="2219"/>
      <c r="K28" s="2219"/>
      <c r="L28" s="2219"/>
      <c r="M28" s="2219"/>
      <c r="N28" s="2219"/>
      <c r="O28" s="2219"/>
      <c r="P28" s="2219"/>
      <c r="Q28" s="2219"/>
      <c r="R28" s="2219"/>
      <c r="S28" s="2219"/>
      <c r="T28" s="2219"/>
      <c r="U28" s="2219"/>
      <c r="V28" s="2219"/>
      <c r="W28" s="2219"/>
      <c r="X28" s="2219"/>
      <c r="Y28" s="2219"/>
      <c r="Z28" s="2219"/>
      <c r="AA28" s="2219"/>
      <c r="AB28" s="2219"/>
      <c r="AC28" s="2219"/>
      <c r="AD28" s="2219"/>
      <c r="AE28" s="2219"/>
      <c r="AF28" s="2219"/>
      <c r="AG28" s="2219"/>
      <c r="AH28" s="2219"/>
      <c r="AI28" s="222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210" t="s">
        <v>91</v>
      </c>
      <c r="E29" s="2212" t="s">
        <v>288</v>
      </c>
      <c r="F29" s="2212" t="s">
        <v>292</v>
      </c>
      <c r="G29" s="2215" t="s">
        <v>19</v>
      </c>
      <c r="H29" s="1601"/>
      <c r="I29" s="2217"/>
      <c r="J29" s="2168"/>
      <c r="K29" s="1516"/>
      <c r="L29" s="2160"/>
      <c r="M29" s="2160"/>
      <c r="N29" s="1586"/>
      <c r="O29" s="2160"/>
      <c r="P29" s="2168"/>
      <c r="Q29" s="1587"/>
      <c r="R29" s="2160"/>
      <c r="S29" s="2160"/>
      <c r="T29" s="1588"/>
      <c r="U29" s="2160"/>
      <c r="V29" s="2168"/>
      <c r="W29" s="1589"/>
      <c r="X29" s="2160"/>
      <c r="Y29" s="2160"/>
      <c r="Z29" s="1586"/>
      <c r="AA29" s="2160"/>
      <c r="AB29" s="2168"/>
      <c r="AC29" s="1590"/>
      <c r="AD29" s="2160"/>
      <c r="AE29" s="2160"/>
      <c r="AF29" s="1515"/>
      <c r="AG29" s="1515"/>
      <c r="AH29" s="1591"/>
      <c r="AI29" s="1298"/>
      <c r="AJ29" s="1576"/>
      <c r="BM29" s="295">
        <v>14</v>
      </c>
    </row>
    <row customHeight="1" ht="14.699999999999998">
      <c r="D30" s="2210"/>
      <c r="E30" s="2212"/>
      <c r="F30" s="2212"/>
      <c r="G30" s="2216"/>
      <c r="H30" s="1602"/>
      <c r="I30" s="2218"/>
      <c r="J30" s="2169"/>
      <c r="K30" s="1585"/>
      <c r="L30" s="2161"/>
      <c r="M30" s="2161"/>
      <c r="N30" s="1592"/>
      <c r="O30" s="2161"/>
      <c r="P30" s="2169"/>
      <c r="Q30" s="1593"/>
      <c r="R30" s="2161"/>
      <c r="S30" s="2161"/>
      <c r="T30" s="1594"/>
      <c r="U30" s="2161"/>
      <c r="V30" s="2169"/>
      <c r="W30" s="1595"/>
      <c r="X30" s="2161"/>
      <c r="Y30" s="2161"/>
      <c r="Z30" s="1592"/>
      <c r="AA30" s="2161"/>
      <c r="AB30" s="2169"/>
      <c r="AC30" s="1596"/>
      <c r="AD30" s="2161"/>
      <c r="AE30" s="2161"/>
      <c r="AF30" s="1597"/>
      <c r="AG30" s="1597"/>
      <c r="AH30" s="2221"/>
      <c r="AI30" s="2222"/>
      <c r="AJ30" s="1576"/>
      <c r="BM30" s="295">
        <v>14</v>
      </c>
    </row>
    <row customHeight="1" ht="14.699999999999998">
      <c r="D31" s="2210"/>
      <c r="E31" s="2212"/>
      <c r="F31" s="2212"/>
      <c r="G31" s="2216"/>
      <c r="H31" s="1602"/>
      <c r="I31" s="2218"/>
      <c r="J31" s="2169"/>
      <c r="K31" s="1585"/>
      <c r="L31" s="2161"/>
      <c r="M31" s="2161"/>
      <c r="N31" s="1592"/>
      <c r="O31" s="2161"/>
      <c r="P31" s="2169"/>
      <c r="Q31" s="1593"/>
      <c r="R31" s="2161"/>
      <c r="S31" s="2161"/>
      <c r="T31" s="1594"/>
      <c r="U31" s="2161"/>
      <c r="V31" s="2169"/>
      <c r="W31" s="1595"/>
      <c r="X31" s="2161"/>
      <c r="Y31" s="2161"/>
      <c r="Z31" s="1514"/>
      <c r="AA31" s="1597"/>
      <c r="AB31" s="2221"/>
      <c r="AC31" s="2221"/>
      <c r="AD31" s="2221"/>
      <c r="AE31" s="2221"/>
      <c r="AF31" s="2221"/>
      <c r="AG31" s="2221"/>
      <c r="AH31" s="2221"/>
      <c r="AI31" s="2222"/>
      <c r="AJ31" s="1576"/>
      <c r="BM31" s="295">
        <v>14</v>
      </c>
    </row>
    <row customHeight="1" ht="14.699999999999998">
      <c r="D32" s="2210"/>
      <c r="E32" s="2212"/>
      <c r="F32" s="2212"/>
      <c r="G32" s="2216"/>
      <c r="H32" s="1602"/>
      <c r="I32" s="2218"/>
      <c r="J32" s="2169"/>
      <c r="K32" s="1585"/>
      <c r="L32" s="2161"/>
      <c r="M32" s="2161"/>
      <c r="N32" s="1592"/>
      <c r="O32" s="2161"/>
      <c r="P32" s="2169"/>
      <c r="Q32" s="1593"/>
      <c r="R32" s="2161"/>
      <c r="S32" s="2161"/>
      <c r="T32" s="1598"/>
      <c r="U32" s="1599"/>
      <c r="V32" s="2221"/>
      <c r="W32" s="2221"/>
      <c r="X32" s="2221"/>
      <c r="Y32" s="2221"/>
      <c r="Z32" s="2221"/>
      <c r="AA32" s="2221"/>
      <c r="AB32" s="2221"/>
      <c r="AC32" s="2221"/>
      <c r="AD32" s="2221"/>
      <c r="AE32" s="2221"/>
      <c r="AF32" s="2221"/>
      <c r="AG32" s="2221"/>
      <c r="AH32" s="2221"/>
      <c r="AI32" s="2222"/>
      <c r="AJ32" s="1576"/>
      <c r="BM32" s="295">
        <v>14</v>
      </c>
    </row>
    <row customHeight="1" ht="11.549999999999999">
      <c r="D33" s="2210"/>
      <c r="E33" s="2212"/>
      <c r="F33" s="2212"/>
      <c r="G33" s="2216"/>
      <c r="H33" s="1603"/>
      <c r="I33" s="2218"/>
      <c r="J33" s="2169"/>
      <c r="K33" s="1585"/>
      <c r="L33" s="2161"/>
      <c r="M33" s="2161"/>
      <c r="N33" s="1597"/>
      <c r="O33" s="1597"/>
      <c r="P33" s="2221"/>
      <c r="Q33" s="2221"/>
      <c r="R33" s="2221"/>
      <c r="S33" s="2221"/>
      <c r="T33" s="2221"/>
      <c r="U33" s="2221"/>
      <c r="V33" s="2221"/>
      <c r="W33" s="2221"/>
      <c r="X33" s="2221"/>
      <c r="Y33" s="2221"/>
      <c r="Z33" s="2221"/>
      <c r="AA33" s="2221"/>
      <c r="AB33" s="2221"/>
      <c r="AC33" s="2221"/>
      <c r="AD33" s="2221"/>
      <c r="AE33" s="2221"/>
      <c r="AF33" s="2221"/>
      <c r="AG33" s="2221"/>
      <c r="AH33" s="2221"/>
      <c r="AI33" s="2222"/>
      <c r="AJ33" s="1576"/>
      <c r="BM33" s="295">
        <v>11</v>
      </c>
    </row>
    <row s="1556" customFormat="1" customHeight="1" ht="11.549999999999999">
      <c r="D34" s="2211"/>
      <c r="E34" s="2213"/>
      <c r="F34" s="2214"/>
      <c r="G34" s="2155"/>
      <c r="H34" s="1600"/>
      <c r="I34" s="1604"/>
      <c r="J34" s="2219"/>
      <c r="K34" s="2219"/>
      <c r="L34" s="2219"/>
      <c r="M34" s="2219"/>
      <c r="N34" s="2219"/>
      <c r="O34" s="2219"/>
      <c r="P34" s="2219"/>
      <c r="Q34" s="2219"/>
      <c r="R34" s="2219"/>
      <c r="S34" s="2219"/>
      <c r="T34" s="2219"/>
      <c r="U34" s="2219"/>
      <c r="V34" s="2219"/>
      <c r="W34" s="2219"/>
      <c r="X34" s="2219"/>
      <c r="Y34" s="2219"/>
      <c r="Z34" s="2219"/>
      <c r="AA34" s="2219"/>
      <c r="AB34" s="2219"/>
      <c r="AC34" s="2219"/>
      <c r="AD34" s="2219"/>
      <c r="AE34" s="2219"/>
      <c r="AF34" s="2219"/>
      <c r="AG34" s="2219"/>
      <c r="AH34" s="2219"/>
      <c r="AI34" s="222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210" t="s">
        <v>108</v>
      </c>
      <c r="E35" s="2212" t="s">
        <v>288</v>
      </c>
      <c r="F35" s="2212" t="s">
        <v>293</v>
      </c>
      <c r="G35" s="2215" t="s">
        <v>19</v>
      </c>
      <c r="H35" s="1601"/>
      <c r="I35" s="2217"/>
      <c r="J35" s="2168"/>
      <c r="K35" s="1516"/>
      <c r="L35" s="2160"/>
      <c r="M35" s="2160"/>
      <c r="N35" s="1586"/>
      <c r="O35" s="2160"/>
      <c r="P35" s="2168"/>
      <c r="Q35" s="1587"/>
      <c r="R35" s="2160"/>
      <c r="S35" s="2160"/>
      <c r="T35" s="1588"/>
      <c r="U35" s="2160"/>
      <c r="V35" s="2168"/>
      <c r="W35" s="1589"/>
      <c r="X35" s="2160"/>
      <c r="Y35" s="2160"/>
      <c r="Z35" s="1586"/>
      <c r="AA35" s="2160"/>
      <c r="AB35" s="2168"/>
      <c r="AC35" s="1590"/>
      <c r="AD35" s="2160"/>
      <c r="AE35" s="2160"/>
      <c r="AF35" s="1515"/>
      <c r="AG35" s="1515"/>
      <c r="AH35" s="1591"/>
      <c r="AI35" s="1298"/>
      <c r="AJ35" s="1576"/>
      <c r="BM35" s="295">
        <v>14</v>
      </c>
    </row>
    <row customHeight="1" ht="14.699999999999998">
      <c r="D36" s="2210"/>
      <c r="E36" s="2212"/>
      <c r="F36" s="2212"/>
      <c r="G36" s="2216"/>
      <c r="H36" s="1602"/>
      <c r="I36" s="2218"/>
      <c r="J36" s="2169"/>
      <c r="K36" s="1585"/>
      <c r="L36" s="2161"/>
      <c r="M36" s="2161"/>
      <c r="N36" s="1592"/>
      <c r="O36" s="2161"/>
      <c r="P36" s="2169"/>
      <c r="Q36" s="1593"/>
      <c r="R36" s="2161"/>
      <c r="S36" s="2161"/>
      <c r="T36" s="1594"/>
      <c r="U36" s="2161"/>
      <c r="V36" s="2169"/>
      <c r="W36" s="1595"/>
      <c r="X36" s="2161"/>
      <c r="Y36" s="2161"/>
      <c r="Z36" s="1592"/>
      <c r="AA36" s="2161"/>
      <c r="AB36" s="2169"/>
      <c r="AC36" s="1596"/>
      <c r="AD36" s="2161"/>
      <c r="AE36" s="2161"/>
      <c r="AF36" s="1597"/>
      <c r="AG36" s="1597"/>
      <c r="AH36" s="2221"/>
      <c r="AI36" s="2222"/>
      <c r="AJ36" s="1576"/>
      <c r="BM36" s="295">
        <v>14</v>
      </c>
    </row>
    <row customHeight="1" ht="14.699999999999998">
      <c r="D37" s="2210"/>
      <c r="E37" s="2212"/>
      <c r="F37" s="2212"/>
      <c r="G37" s="2216"/>
      <c r="H37" s="1602"/>
      <c r="I37" s="2218"/>
      <c r="J37" s="2169"/>
      <c r="K37" s="1585"/>
      <c r="L37" s="2161"/>
      <c r="M37" s="2161"/>
      <c r="N37" s="1592"/>
      <c r="O37" s="2161"/>
      <c r="P37" s="2169"/>
      <c r="Q37" s="1593"/>
      <c r="R37" s="2161"/>
      <c r="S37" s="2161"/>
      <c r="T37" s="1594"/>
      <c r="U37" s="2161"/>
      <c r="V37" s="2169"/>
      <c r="W37" s="1595"/>
      <c r="X37" s="2161"/>
      <c r="Y37" s="2161"/>
      <c r="Z37" s="1514"/>
      <c r="AA37" s="1597"/>
      <c r="AB37" s="2221"/>
      <c r="AC37" s="2221"/>
      <c r="AD37" s="2221"/>
      <c r="AE37" s="2221"/>
      <c r="AF37" s="2221"/>
      <c r="AG37" s="2221"/>
      <c r="AH37" s="2221"/>
      <c r="AI37" s="2222"/>
      <c r="AJ37" s="1576"/>
      <c r="BM37" s="295">
        <v>14</v>
      </c>
    </row>
    <row customHeight="1" ht="14.699999999999998">
      <c r="D38" s="2210"/>
      <c r="E38" s="2212"/>
      <c r="F38" s="2212"/>
      <c r="G38" s="2216"/>
      <c r="H38" s="1602"/>
      <c r="I38" s="2218"/>
      <c r="J38" s="2169"/>
      <c r="K38" s="1585"/>
      <c r="L38" s="2161"/>
      <c r="M38" s="2161"/>
      <c r="N38" s="1592"/>
      <c r="O38" s="2161"/>
      <c r="P38" s="2169"/>
      <c r="Q38" s="1593"/>
      <c r="R38" s="2161"/>
      <c r="S38" s="2161"/>
      <c r="T38" s="1598"/>
      <c r="U38" s="1599"/>
      <c r="V38" s="2221"/>
      <c r="W38" s="2221"/>
      <c r="X38" s="2221"/>
      <c r="Y38" s="2221"/>
      <c r="Z38" s="2221"/>
      <c r="AA38" s="2221"/>
      <c r="AB38" s="2221"/>
      <c r="AC38" s="2221"/>
      <c r="AD38" s="2221"/>
      <c r="AE38" s="2221"/>
      <c r="AF38" s="2221"/>
      <c r="AG38" s="2221"/>
      <c r="AH38" s="2221"/>
      <c r="AI38" s="2222"/>
      <c r="AJ38" s="1576"/>
      <c r="BM38" s="295">
        <v>14</v>
      </c>
    </row>
    <row customHeight="1" ht="11.549999999999999">
      <c r="D39" s="2210"/>
      <c r="E39" s="2212"/>
      <c r="F39" s="2212"/>
      <c r="G39" s="2216"/>
      <c r="H39" s="1603"/>
      <c r="I39" s="2218"/>
      <c r="J39" s="2169"/>
      <c r="K39" s="1585"/>
      <c r="L39" s="2161"/>
      <c r="M39" s="2161"/>
      <c r="N39" s="1597"/>
      <c r="O39" s="1597"/>
      <c r="P39" s="2221"/>
      <c r="Q39" s="2221"/>
      <c r="R39" s="2221"/>
      <c r="S39" s="2221"/>
      <c r="T39" s="2221"/>
      <c r="U39" s="2221"/>
      <c r="V39" s="2221"/>
      <c r="W39" s="2221"/>
      <c r="X39" s="2221"/>
      <c r="Y39" s="2221"/>
      <c r="Z39" s="2221"/>
      <c r="AA39" s="2221"/>
      <c r="AB39" s="2221"/>
      <c r="AC39" s="2221"/>
      <c r="AD39" s="2221"/>
      <c r="AE39" s="2221"/>
      <c r="AF39" s="2221"/>
      <c r="AG39" s="2221"/>
      <c r="AH39" s="2221"/>
      <c r="AI39" s="2222"/>
      <c r="AJ39" s="1576"/>
      <c r="BM39" s="295">
        <v>11</v>
      </c>
    </row>
    <row s="1556" customFormat="1" customHeight="1" ht="11.549999999999999">
      <c r="D40" s="2210"/>
      <c r="E40" s="2212"/>
      <c r="F40" s="2223"/>
      <c r="G40" s="2155"/>
      <c r="H40" s="1600"/>
      <c r="I40" s="1604"/>
      <c r="J40" s="2219"/>
      <c r="K40" s="2219"/>
      <c r="L40" s="2219"/>
      <c r="M40" s="2219"/>
      <c r="N40" s="2219"/>
      <c r="O40" s="2219"/>
      <c r="P40" s="2219"/>
      <c r="Q40" s="2219"/>
      <c r="R40" s="2219"/>
      <c r="S40" s="2219"/>
      <c r="T40" s="2219"/>
      <c r="U40" s="2219"/>
      <c r="V40" s="2219"/>
      <c r="W40" s="2219"/>
      <c r="X40" s="2219"/>
      <c r="Y40" s="2219"/>
      <c r="Z40" s="2219"/>
      <c r="AA40" s="2219"/>
      <c r="AB40" s="2219"/>
      <c r="AC40" s="2219"/>
      <c r="AD40" s="2219"/>
      <c r="AE40" s="2219"/>
      <c r="AF40" s="2219"/>
      <c r="AG40" s="2219"/>
      <c r="AH40" s="2219"/>
      <c r="AI40" s="222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87AA8-6CF8-A515-6202-8BD77A1CA2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7" t="s">
        <v>294</v>
      </c>
      <c r="J1" s="457" t="s">
        <v>14</v>
      </c>
    </row>
    <row customHeight="1" ht="11.25" hidden="1">
      <c r="J2" s="457">
        <v>0</v>
      </c>
    </row>
    <row s="479" customFormat="1" customHeight="1" ht="11.549999999999999">
      <c r="A3" s="1687"/>
      <c r="B3" s="503"/>
      <c r="D3" s="480"/>
      <c r="J3" s="479">
        <v>11</v>
      </c>
    </row>
    <row customHeight="1" ht="27.299999999999997">
      <c r="D4" s="2190" t="str">
        <f>ORG_INFO_NAME_FORM</f>
        <v>Форма 1. Информация об организации, осуществляющей холодное водоснабжение (общая информация)</v>
      </c>
      <c r="E4" s="2191"/>
      <c r="F4" s="2192"/>
      <c r="I4" s="717"/>
      <c r="J4" s="457">
        <v>26</v>
      </c>
    </row>
    <row customHeight="1" ht="18">
      <c r="D5" s="2224" t="str">
        <f>IF(org=0,"Не определено",org)</f>
        <v>Муниципальное унитарное предприятие "Невельские коммунальные сети"</v>
      </c>
      <c r="E5" s="2224"/>
      <c r="F5" s="2224"/>
      <c r="I5" s="717"/>
      <c r="J5" s="457">
        <v>17</v>
      </c>
    </row>
    <row s="479" customFormat="1" customHeight="1" ht="11.549999999999999">
      <c r="A6" s="1687"/>
      <c r="B6" s="503"/>
      <c r="D6" s="716"/>
      <c r="E6" s="716"/>
      <c r="F6" s="754"/>
      <c r="G6" s="716"/>
      <c r="J6" s="479">
        <v>11</v>
      </c>
    </row>
    <row customHeight="1" ht="11.25" hidden="1">
      <c r="A7" s="459"/>
      <c r="B7" s="504"/>
      <c r="C7" s="459"/>
      <c r="D7" s="465"/>
      <c r="E7" s="2230"/>
      <c r="F7" s="2230"/>
      <c r="J7" s="457">
        <v>0</v>
      </c>
    </row>
    <row customHeight="1" ht="11.549999999999999">
      <c r="A8" s="459"/>
      <c r="B8" s="504"/>
      <c r="C8" s="459"/>
      <c r="D8" s="2227" t="s">
        <v>295</v>
      </c>
      <c r="E8" s="2228"/>
      <c r="F8" s="2228"/>
      <c r="G8" s="2231" t="s">
        <v>296</v>
      </c>
      <c r="J8" s="457">
        <v>11</v>
      </c>
    </row>
    <row customHeight="1" ht="11.549999999999999">
      <c r="A9" s="459"/>
      <c r="B9" s="504"/>
      <c r="C9" s="459"/>
      <c r="D9" s="474" t="s">
        <v>88</v>
      </c>
      <c r="E9" s="448" t="s">
        <v>297</v>
      </c>
      <c r="F9" s="448" t="s">
        <v>298</v>
      </c>
      <c r="G9" s="2232"/>
      <c r="J9" s="457">
        <v>11</v>
      </c>
    </row>
    <row customHeight="1" ht="12" hidden="1">
      <c r="A10" s="459"/>
      <c r="B10" s="504"/>
      <c r="C10" s="459"/>
      <c r="D10" s="466"/>
      <c r="E10" s="466"/>
      <c r="F10" s="466"/>
      <c r="G10" s="466"/>
      <c r="J10" s="457">
        <v>0</v>
      </c>
    </row>
    <row customHeight="1" ht="22.5" hidden="1">
      <c r="A11" s="459"/>
      <c r="B11" s="504"/>
      <c r="C11" s="459"/>
      <c r="D11" s="1011" t="s">
        <v>106</v>
      </c>
      <c r="E11" s="1014" t="s">
        <v>299</v>
      </c>
      <c r="F11" s="1013" t="str">
        <f>IF(region_name="","",region_name)</f>
        <v>Сахалинская область</v>
      </c>
      <c r="G11" s="1014" t="s">
        <v>300</v>
      </c>
      <c r="H11" s="477"/>
      <c r="J11" s="457">
        <v>0</v>
      </c>
    </row>
    <row customHeight="1" ht="22.5" hidden="1">
      <c r="A12" s="459"/>
      <c r="B12" s="504"/>
      <c r="C12" s="459"/>
      <c r="D12" s="447" t="s">
        <v>106</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301</v>
      </c>
      <c r="G12" s="476"/>
      <c r="H12" s="477"/>
      <c r="J12" s="457">
        <v>0</v>
      </c>
    </row>
    <row customHeight="1" ht="23.25">
      <c r="A13" s="459"/>
      <c r="B13" s="504"/>
      <c r="C13" s="459"/>
      <c r="D13" s="447" t="s">
        <v>106</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302</v>
      </c>
      <c r="E14" s="1012" t="s">
        <v>303</v>
      </c>
      <c r="F14" s="1013" t="str">
        <f>IF(inn="","",inn)</f>
        <v>6505011534</v>
      </c>
      <c r="G14" s="1014" t="s">
        <v>304</v>
      </c>
      <c r="H14" s="477"/>
      <c r="J14" s="457">
        <v>0</v>
      </c>
    </row>
    <row customHeight="1" ht="22.5" hidden="1">
      <c r="A15" s="459"/>
      <c r="B15" s="504"/>
      <c r="C15" s="459"/>
      <c r="D15" s="1011" t="s">
        <v>305</v>
      </c>
      <c r="E15" s="1012" t="s">
        <v>306</v>
      </c>
      <c r="F15" s="1013" t="str">
        <f>IF(kpp="","",kpp)</f>
        <v>650501001</v>
      </c>
      <c r="G15" s="1014" t="s">
        <v>307</v>
      </c>
      <c r="H15" s="477"/>
      <c r="J15" s="457">
        <v>0</v>
      </c>
    </row>
    <row customHeight="1" ht="39">
      <c r="A16" s="459"/>
      <c r="B16" s="504"/>
      <c r="C16" s="459"/>
      <c r="D16" s="447" t="s">
        <v>107</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3"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25" t="s">
        <v>308</v>
      </c>
      <c r="B19" s="504"/>
      <c r="C19" s="2236"/>
      <c r="D19" s="447" t="str">
        <f>A19</f>
        <v>5.1</v>
      </c>
      <c r="E19" s="444" t="s">
        <v>309</v>
      </c>
      <c r="F19" s="445" t="s">
        <v>301</v>
      </c>
      <c r="G19" s="446" t="s">
        <v>310</v>
      </c>
      <c r="H19" s="477"/>
      <c r="I19" s="854"/>
      <c r="J19" s="457">
        <v>0</v>
      </c>
    </row>
    <row customHeight="1" ht="24" hidden="1">
      <c r="A20" s="2225"/>
      <c r="B20" s="504"/>
      <c r="C20" s="2236"/>
      <c r="D20" s="442" t="str">
        <f>D19&amp;".1"</f>
        <v>5.1.1</v>
      </c>
      <c r="E20" s="441" t="s">
        <v>311</v>
      </c>
      <c r="F20" s="883" t="s">
        <v>22</v>
      </c>
      <c r="G20" s="476"/>
      <c r="H20" s="477"/>
      <c r="I20" s="854"/>
      <c r="J20" s="457">
        <v>0</v>
      </c>
    </row>
    <row customHeight="1" ht="22.5" hidden="1">
      <c r="A21" s="2225"/>
      <c r="B21" s="504"/>
      <c r="C21" s="2236"/>
      <c r="D21" s="442" t="str">
        <f>D19&amp;".2"</f>
        <v>5.1.2</v>
      </c>
      <c r="E21" s="441" t="s">
        <v>312</v>
      </c>
      <c r="F21" s="1734" t="s">
        <v>22</v>
      </c>
      <c r="G21" s="446" t="s">
        <v>313</v>
      </c>
      <c r="H21" s="477"/>
      <c r="I21" s="854"/>
      <c r="J21" s="457">
        <v>0</v>
      </c>
    </row>
    <row customHeight="1" ht="22.5" hidden="1">
      <c r="A22" s="2225"/>
      <c r="B22" s="504"/>
      <c r="C22" s="2236"/>
      <c r="D22" s="442" t="str">
        <f>D19&amp;".3"</f>
        <v>5.1.3</v>
      </c>
      <c r="E22" s="441" t="s">
        <v>314</v>
      </c>
      <c r="F22" s="883" t="s">
        <v>22</v>
      </c>
      <c r="G22" s="476"/>
      <c r="H22" s="477"/>
      <c r="I22" s="854"/>
      <c r="J22" s="457">
        <v>0</v>
      </c>
    </row>
    <row customHeight="1" ht="22.5" hidden="1">
      <c r="A23" s="2225"/>
      <c r="B23" s="504"/>
      <c r="C23" s="2236"/>
      <c r="D23" s="442" t="str">
        <f>D19&amp;".4"</f>
        <v>5.1.4</v>
      </c>
      <c r="E23" s="441" t="s">
        <v>315</v>
      </c>
      <c r="F23" s="883" t="s">
        <v>22</v>
      </c>
      <c r="G23" s="446" t="s">
        <v>316</v>
      </c>
      <c r="H23" s="477"/>
      <c r="I23" s="854"/>
      <c r="J23" s="457">
        <v>0</v>
      </c>
    </row>
    <row customHeight="1" ht="22.5" hidden="1">
      <c r="A24" s="1977"/>
      <c r="B24" s="504"/>
      <c r="C24" s="494"/>
      <c r="D24" s="469"/>
      <c r="E24" s="1170" t="s">
        <v>317</v>
      </c>
      <c r="F24" s="470"/>
      <c r="G24" s="471"/>
      <c r="H24" s="477"/>
      <c r="I24" s="854"/>
      <c r="J24" s="457">
        <v>0</v>
      </c>
    </row>
    <row s="503" customFormat="1" customHeight="1" ht="24.75" hidden="1">
      <c r="A25" s="459"/>
      <c r="B25" s="504"/>
      <c r="C25" s="504"/>
      <c r="D25" s="1008" t="s">
        <v>90</v>
      </c>
      <c r="E25" s="1010" t="s">
        <v>318</v>
      </c>
      <c r="F25" s="1015" t="s">
        <v>301</v>
      </c>
      <c r="G25" s="1010"/>
      <c r="J25" s="503">
        <v>0</v>
      </c>
    </row>
    <row s="503" customFormat="1" customHeight="1" ht="11.25" hidden="1">
      <c r="A26" s="459"/>
      <c r="B26" s="504"/>
      <c r="C26" s="504"/>
      <c r="D26" s="1008" t="s">
        <v>319</v>
      </c>
      <c r="E26" s="1009" t="s">
        <v>320</v>
      </c>
      <c r="F26" s="1015" t="s">
        <v>301</v>
      </c>
      <c r="G26" s="1010"/>
      <c r="J26" s="503">
        <v>0</v>
      </c>
    </row>
    <row s="503" customFormat="1" customHeight="1" ht="11.25" hidden="1">
      <c r="A27" s="459"/>
      <c r="B27" s="504"/>
      <c r="C27" s="504"/>
      <c r="D27" s="1008" t="s">
        <v>321</v>
      </c>
      <c r="E27" s="1016" t="s">
        <v>322</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323</v>
      </c>
      <c r="E28" s="1016" t="s">
        <v>324</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325</v>
      </c>
      <c r="E29" s="1016" t="s">
        <v>326</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327</v>
      </c>
      <c r="E30" s="1009" t="s">
        <v>328</v>
      </c>
      <c r="F30" s="1017"/>
      <c r="G30" s="1010"/>
      <c r="J30" s="503">
        <v>0</v>
      </c>
    </row>
    <row s="503" customFormat="1" customHeight="1" ht="11.25" hidden="1">
      <c r="A31" s="459"/>
      <c r="B31" s="504"/>
      <c r="C31" s="504"/>
      <c r="D31" s="1008" t="s">
        <v>329</v>
      </c>
      <c r="E31" s="1009" t="s">
        <v>330</v>
      </c>
      <c r="F31" s="1017"/>
      <c r="G31" s="1010"/>
      <c r="J31" s="503">
        <v>0</v>
      </c>
    </row>
    <row s="503" customFormat="1" customHeight="1" ht="11.25" hidden="1">
      <c r="A32" s="459"/>
      <c r="B32" s="504"/>
      <c r="C32" s="504"/>
      <c r="D32" s="1008" t="s">
        <v>331</v>
      </c>
      <c r="E32" s="1009" t="s">
        <v>332</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301</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333</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333</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301</v>
      </c>
      <c r="G39" s="2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34"/>
      <c r="H40" s="477"/>
      <c r="J40" s="457">
        <v>0</v>
      </c>
    </row>
    <row customHeight="1" ht="23.25">
      <c r="A41" s="459"/>
      <c r="B41" s="459"/>
      <c r="C41" s="1689"/>
      <c r="D41" s="442" t="str">
        <f>D39&amp;".1"</f>
        <v>8.1</v>
      </c>
      <c r="E41" s="862"/>
      <c r="F41" s="863"/>
      <c r="G41" s="2234"/>
      <c r="H41" s="477"/>
      <c r="J41" s="457">
        <v>22</v>
      </c>
    </row>
    <row customHeight="1" ht="15.75">
      <c r="A42" s="459"/>
      <c r="B42" s="504"/>
      <c r="C42" s="459"/>
      <c r="D42" s="469"/>
      <c r="E42" s="417" t="s">
        <v>334</v>
      </c>
      <c r="F42" s="471"/>
      <c r="G42" s="2235"/>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335</v>
      </c>
      <c r="H44" s="477"/>
      <c r="J44" s="457">
        <v>22</v>
      </c>
    </row>
    <row customHeight="1" ht="23.25">
      <c r="A45" s="459"/>
      <c r="B45" s="504"/>
      <c r="C45" s="459"/>
      <c r="D45" s="442">
        <f>D44+1</f>
        <v>11</v>
      </c>
      <c r="E45" s="440" t="s">
        <v>336</v>
      </c>
      <c r="F45" s="445" t="s">
        <v>301</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5"/>
      <c r="G46" s="439" t="s">
        <v>337</v>
      </c>
      <c r="H46" s="477"/>
      <c r="J46" s="457">
        <v>23</v>
      </c>
    </row>
    <row customHeight="1" ht="24">
      <c r="A47" s="2225"/>
      <c r="B47" s="504"/>
      <c r="C47" s="494"/>
      <c r="D47" s="442" t="str">
        <f>D45&amp;".2"</f>
        <v>11.2</v>
      </c>
      <c r="E47" s="444" t="s">
        <v>338</v>
      </c>
      <c r="F47" s="492"/>
      <c r="G47" s="439" t="s">
        <v>339</v>
      </c>
      <c r="H47" s="477"/>
      <c r="J47" s="457">
        <v>23</v>
      </c>
    </row>
    <row customHeight="1" ht="24">
      <c r="A48" s="2225"/>
      <c r="B48" s="504"/>
      <c r="C48" s="494"/>
      <c r="D48" s="442" t="str">
        <f>D45&amp;".3"</f>
        <v>11.3</v>
      </c>
      <c r="E48" s="444" t="s">
        <v>340</v>
      </c>
      <c r="F48" s="492"/>
      <c r="G48" s="439" t="s">
        <v>341</v>
      </c>
      <c r="H48" s="477"/>
      <c r="J48" s="457">
        <v>23</v>
      </c>
    </row>
    <row customHeight="1" ht="24">
      <c r="A49" s="2225"/>
      <c r="B49" s="504"/>
      <c r="C49" s="494"/>
      <c r="D49" s="442" t="str">
        <f>IF(TEMPLATE_SPHERE="TKO",D45&amp;".0",D45&amp;".4")</f>
        <v>11.4</v>
      </c>
      <c r="E49" s="438" t="s">
        <v>342</v>
      </c>
      <c r="F49" s="1686"/>
      <c r="G49" s="1763" t="s">
        <v>343</v>
      </c>
      <c r="H49" s="477"/>
      <c r="J49" s="457">
        <v>23</v>
      </c>
    </row>
    <row customHeight="1" ht="24">
      <c r="A50" s="459"/>
      <c r="B50" s="504"/>
      <c r="C50" s="459"/>
      <c r="D50" s="469"/>
      <c r="E50" s="417" t="s">
        <v>344</v>
      </c>
      <c r="F50" s="470"/>
      <c r="G50" s="1763" t="s">
        <v>345</v>
      </c>
      <c r="H50" s="478"/>
      <c r="J50" s="457">
        <v>23</v>
      </c>
    </row>
    <row customHeight="1" ht="24">
      <c r="A51" s="860"/>
      <c r="B51" s="504"/>
      <c r="C51" s="494"/>
      <c r="D51" s="442">
        <f>D45+1</f>
        <v>12</v>
      </c>
      <c r="E51" s="530" t="s">
        <v>346</v>
      </c>
      <c r="F51" s="492"/>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8"/>
      <c r="B53" s="505"/>
      <c r="C53" s="2226"/>
      <c r="D53" s="2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9"/>
      <c r="F53" s="2229"/>
      <c r="G53" s="2229"/>
      <c r="H53" s="456"/>
      <c r="I53" s="456"/>
      <c r="J53" s="462">
        <v>30</v>
      </c>
    </row>
    <row s="462" customFormat="1" customHeight="1" ht="42">
      <c r="A54" s="459"/>
      <c r="B54" s="504"/>
      <c r="C54" s="2226"/>
      <c r="D54" s="222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9"/>
      <c r="F54" s="2229"/>
      <c r="G54" s="2229"/>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7"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07679-053B-7FDD-2118-4F578C294FA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1"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0"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52" t="s">
        <v>347</v>
      </c>
      <c r="I1" s="2252"/>
      <c r="J1" s="2252"/>
      <c r="K1" s="2252"/>
      <c r="L1" s="2252"/>
      <c r="M1" s="2252"/>
      <c r="N1" s="2252"/>
      <c r="O1" s="2252"/>
      <c r="P1" s="2252"/>
      <c r="Q1" s="2252"/>
      <c r="R1" s="2252"/>
      <c r="T1" s="2252" t="s">
        <v>348</v>
      </c>
      <c r="U1" s="2252"/>
      <c r="V1" s="2252"/>
      <c r="X1" s="2252" t="s">
        <v>349</v>
      </c>
      <c r="Y1" s="2252"/>
      <c r="Z1" s="2252"/>
      <c r="AB1" s="2252" t="s">
        <v>350</v>
      </c>
      <c r="AC1" s="2252"/>
      <c r="AT1" s="449" t="s">
        <v>14</v>
      </c>
    </row>
    <row customHeight="1" ht="14.25" hidden="1">
      <c r="AT2" s="449">
        <v>0</v>
      </c>
    </row>
    <row s="1615" customFormat="1" customHeight="1" ht="5.25">
      <c r="C3" s="703"/>
      <c r="D3" s="704"/>
      <c r="E3" s="704"/>
      <c r="F3" s="704"/>
      <c r="G3" s="704"/>
      <c r="H3" s="704" t="s">
        <v>351</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90" t="str">
        <f>ORG_VD_NAME_FORM</f>
        <v>Форма 1. Информация об организации, осуществляющей холодное водоснабжение (общая информация)</v>
      </c>
      <c r="E4" s="2191"/>
      <c r="F4" s="2191"/>
      <c r="G4" s="2191"/>
      <c r="H4" s="2191"/>
      <c r="I4" s="2191"/>
      <c r="J4" s="2191"/>
      <c r="K4" s="2191"/>
      <c r="L4" s="2191"/>
      <c r="M4" s="2191"/>
      <c r="N4" s="2191"/>
      <c r="O4" s="2191"/>
      <c r="P4" s="2191"/>
      <c r="Q4" s="2191"/>
      <c r="R4" s="2192"/>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49" t="str">
        <f>IF(org=0,"Не определено",org)</f>
        <v>Муниципальное унитарное предприятие "Невельские коммунальные сети"</v>
      </c>
      <c r="E5" s="2250"/>
      <c r="F5" s="2250"/>
      <c r="G5" s="2250"/>
      <c r="H5" s="2250"/>
      <c r="I5" s="2250"/>
      <c r="J5" s="2250"/>
      <c r="K5" s="2250"/>
      <c r="L5" s="2250"/>
      <c r="M5" s="2250"/>
      <c r="N5" s="2250"/>
      <c r="O5" s="2250"/>
      <c r="P5" s="2250"/>
      <c r="Q5" s="2250"/>
      <c r="R5" s="2251"/>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38" t="s">
        <v>295</v>
      </c>
      <c r="E7" s="2253"/>
      <c r="F7" s="2253"/>
      <c r="G7" s="2253"/>
      <c r="H7" s="2253"/>
      <c r="I7" s="2253"/>
      <c r="J7" s="2253"/>
      <c r="K7" s="2253"/>
      <c r="L7" s="2253"/>
      <c r="M7" s="2253"/>
      <c r="N7" s="2253"/>
      <c r="O7" s="2253"/>
      <c r="P7" s="2253"/>
      <c r="Q7" s="2253"/>
      <c r="R7" s="2253"/>
      <c r="S7" s="2253"/>
      <c r="T7" s="2253"/>
      <c r="U7" s="2253"/>
      <c r="V7" s="2253"/>
      <c r="W7" s="2253"/>
      <c r="X7" s="2253"/>
      <c r="Y7" s="2253"/>
      <c r="Z7" s="2253"/>
      <c r="AA7" s="2253"/>
      <c r="AB7" s="2253"/>
      <c r="AC7" s="2253"/>
      <c r="AD7" s="2254"/>
      <c r="AE7" s="2237" t="s">
        <v>296</v>
      </c>
      <c r="AF7" s="2237" t="s">
        <v>296</v>
      </c>
      <c r="AG7" s="2237" t="s">
        <v>296</v>
      </c>
      <c r="AH7" s="2237" t="s">
        <v>296</v>
      </c>
      <c r="AT7" s="449">
        <v>14</v>
      </c>
    </row>
    <row customHeight="1" ht="27.299999999999997">
      <c r="C8" s="452"/>
      <c r="D8" s="2140" t="s">
        <v>88</v>
      </c>
      <c r="E8" s="2237" t="str">
        <f>"Наименование "&amp;IF(TEMPLATE_SPHERE&lt;&gt;"HEAT","централизованной ","")&amp;"системы "&amp;TEMPLATE_SPHERE_RUS</f>
        <v>Наименование централизованной системы холодного водоснабжения</v>
      </c>
      <c r="F8" s="2237" t="str">
        <f>IF(TEMPLATE_SPHERE&lt;&gt;"HEAT","Регулируемый вид деятельности","Вид регулируемой деятельности")</f>
        <v>Регулируемый вид деятельности</v>
      </c>
      <c r="G8" s="830"/>
      <c r="H8" s="2243" t="s">
        <v>352</v>
      </c>
      <c r="I8" s="2245" t="s">
        <v>353</v>
      </c>
      <c r="J8" s="2237" t="s">
        <v>354</v>
      </c>
      <c r="K8" s="2237"/>
      <c r="L8" s="2237"/>
      <c r="M8" s="2238"/>
      <c r="N8" s="2237" t="s">
        <v>355</v>
      </c>
      <c r="O8" s="2237"/>
      <c r="P8" s="2237" t="s">
        <v>356</v>
      </c>
      <c r="Q8" s="2237"/>
      <c r="R8" s="2241" t="s">
        <v>357</v>
      </c>
      <c r="S8" s="826"/>
      <c r="T8" s="2239" t="s">
        <v>358</v>
      </c>
      <c r="U8" s="2239" t="s">
        <v>359</v>
      </c>
      <c r="V8" s="2239" t="s">
        <v>360</v>
      </c>
      <c r="W8" s="828"/>
      <c r="X8" s="2239" t="s">
        <v>361</v>
      </c>
      <c r="Y8" s="2239" t="s">
        <v>362</v>
      </c>
      <c r="Z8" s="2239" t="s">
        <v>363</v>
      </c>
      <c r="AA8" s="828"/>
      <c r="AB8" s="2239" t="s">
        <v>364</v>
      </c>
      <c r="AC8" s="2239" t="s">
        <v>357</v>
      </c>
      <c r="AD8" s="828"/>
      <c r="AE8" s="2237"/>
      <c r="AF8" s="2237"/>
      <c r="AG8" s="2237"/>
      <c r="AH8" s="2237"/>
      <c r="AT8" s="449">
        <v>26</v>
      </c>
    </row>
    <row customHeight="1" ht="46.199999999999996">
      <c r="C9" s="452"/>
      <c r="D9" s="2140"/>
      <c r="E9" s="2237"/>
      <c r="F9" s="2237"/>
      <c r="G9" s="831"/>
      <c r="H9" s="2244"/>
      <c r="I9" s="2246"/>
      <c r="J9" s="427" t="s">
        <v>365</v>
      </c>
      <c r="K9" s="427" t="s">
        <v>366</v>
      </c>
      <c r="L9" s="427" t="s">
        <v>367</v>
      </c>
      <c r="M9" s="433" t="s">
        <v>368</v>
      </c>
      <c r="N9" s="427" t="s">
        <v>369</v>
      </c>
      <c r="O9" s="427" t="s">
        <v>368</v>
      </c>
      <c r="P9" s="427" t="s">
        <v>370</v>
      </c>
      <c r="Q9" s="427" t="s">
        <v>368</v>
      </c>
      <c r="R9" s="2242"/>
      <c r="S9" s="827"/>
      <c r="T9" s="2240"/>
      <c r="U9" s="2240"/>
      <c r="V9" s="2240"/>
      <c r="W9" s="829"/>
      <c r="X9" s="2240"/>
      <c r="Y9" s="2240"/>
      <c r="Z9" s="2240"/>
      <c r="AA9" s="829"/>
      <c r="AB9" s="2240"/>
      <c r="AC9" s="2240"/>
      <c r="AD9" s="829"/>
      <c r="AE9" s="2237"/>
      <c r="AF9" s="2237"/>
      <c r="AG9" s="2237"/>
      <c r="AH9" s="2237"/>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371</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106</v>
      </c>
      <c r="E12" s="1778" t="s">
        <v>22</v>
      </c>
      <c r="F12" s="857"/>
      <c r="G12" s="858"/>
      <c r="H12" s="1779"/>
      <c r="I12" s="1779"/>
      <c r="J12" s="435"/>
      <c r="K12" s="1862"/>
      <c r="L12" s="434"/>
      <c r="M12" s="1862"/>
      <c r="N12" s="435"/>
      <c r="O12" s="1862"/>
      <c r="P12" s="435"/>
      <c r="Q12" s="1862"/>
      <c r="R12" s="435"/>
      <c r="S12" s="856"/>
      <c r="T12" s="1779"/>
      <c r="U12" s="435"/>
      <c r="V12" s="435"/>
      <c r="W12" s="829"/>
      <c r="X12" s="1779"/>
      <c r="Y12" s="435"/>
      <c r="Z12" s="435"/>
      <c r="AA12" s="829"/>
      <c r="AB12" s="1779"/>
      <c r="AC12" s="435"/>
      <c r="AD12" s="829"/>
      <c r="AE12" s="2247" t="s">
        <v>372</v>
      </c>
      <c r="AF12" s="2247" t="s">
        <v>373</v>
      </c>
      <c r="AG12" s="2247" t="s">
        <v>374</v>
      </c>
      <c r="AH12" s="2247" t="s">
        <v>375</v>
      </c>
      <c r="AI12" s="449"/>
      <c r="AM12" s="513"/>
      <c r="AP12" s="502" t="s">
        <v>376</v>
      </c>
      <c r="AQ12" s="502" t="s">
        <v>376</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48"/>
      <c r="AF13" s="2248"/>
      <c r="AG13" s="2248"/>
      <c r="AH13" s="2248"/>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DA138-70FC-6AD5-E057-561BCABDBEC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1"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0"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52" t="s">
        <v>347</v>
      </c>
      <c r="I1" s="2252"/>
      <c r="V1" s="1609" t="s">
        <v>14</v>
      </c>
    </row>
    <row s="1637" customFormat="1" customHeight="1" ht="14.25" hidden="1">
      <c r="C2" s="1621"/>
      <c r="D2" s="2256" t="s">
        <v>106</v>
      </c>
      <c r="E2" s="2258"/>
      <c r="F2" s="1627"/>
      <c r="G2" s="1622" t="s">
        <v>106</v>
      </c>
      <c r="H2" s="1625"/>
      <c r="I2" s="1623"/>
      <c r="L2" s="1624"/>
      <c r="M2" s="1624"/>
      <c r="N2" s="1624"/>
      <c r="O2" s="1624" t="s">
        <v>377</v>
      </c>
      <c r="P2" s="1624"/>
      <c r="Q2" s="1624"/>
      <c r="R2" s="1626" t="s">
        <v>376</v>
      </c>
      <c r="S2" s="1626" t="s">
        <v>376</v>
      </c>
      <c r="T2" s="1624"/>
      <c r="U2" s="1624"/>
      <c r="V2" s="1620">
        <v>0</v>
      </c>
    </row>
    <row s="1637" customFormat="1" customHeight="1" ht="14.25" hidden="1">
      <c r="C3" s="1621"/>
      <c r="D3" s="2257"/>
      <c r="E3" s="2259"/>
      <c r="F3" s="407"/>
      <c r="G3" s="871"/>
      <c r="H3" s="871" t="s">
        <v>378</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351</v>
      </c>
      <c r="I5" s="704"/>
      <c r="J5" s="704"/>
      <c r="L5" s="1616"/>
      <c r="M5" s="1616"/>
      <c r="N5" s="1616"/>
      <c r="O5" s="1616"/>
      <c r="P5" s="1616"/>
      <c r="Q5" s="1616"/>
      <c r="R5" s="1616"/>
      <c r="S5" s="1616"/>
      <c r="T5" s="1616"/>
      <c r="U5" s="1616"/>
      <c r="V5" s="1615">
        <v>5</v>
      </c>
    </row>
    <row customHeight="1" ht="29.25">
      <c r="C6" s="1518"/>
      <c r="D6" s="2255" t="s">
        <v>379</v>
      </c>
      <c r="E6" s="2255"/>
      <c r="F6" s="2255"/>
      <c r="G6" s="2255"/>
      <c r="H6" s="2255"/>
      <c r="I6" s="2255"/>
      <c r="J6" s="493"/>
      <c r="K6" s="1617"/>
      <c r="V6" s="1609">
        <v>28</v>
      </c>
    </row>
    <row customHeight="1" ht="18">
      <c r="C7" s="1518"/>
      <c r="D7" s="2224" t="str">
        <f>IF(org=0,"Не определено",org)</f>
        <v>Муниципальное унитарное предприятие "Невельские коммунальные сети"</v>
      </c>
      <c r="E7" s="2224"/>
      <c r="F7" s="2224"/>
      <c r="G7" s="2224"/>
      <c r="H7" s="2224"/>
      <c r="I7" s="2224"/>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38" t="s">
        <v>295</v>
      </c>
      <c r="E10" s="2253"/>
      <c r="F10" s="2253"/>
      <c r="G10" s="2253"/>
      <c r="H10" s="2253"/>
      <c r="I10" s="2253"/>
      <c r="J10" s="2237" t="s">
        <v>296</v>
      </c>
      <c r="V10" s="1609">
        <v>14</v>
      </c>
    </row>
    <row customHeight="1" ht="27.299999999999997">
      <c r="C11" s="1518"/>
      <c r="D11" s="2140" t="s">
        <v>88</v>
      </c>
      <c r="E11" s="2237" t="s">
        <v>102</v>
      </c>
      <c r="F11" s="2200" t="s">
        <v>88</v>
      </c>
      <c r="G11" s="2201"/>
      <c r="H11" s="2199" t="s">
        <v>380</v>
      </c>
      <c r="I11" s="2199" t="s">
        <v>381</v>
      </c>
      <c r="J11" s="2237"/>
      <c r="V11" s="1609">
        <v>26</v>
      </c>
    </row>
    <row customHeight="1" ht="14.699999999999998">
      <c r="C12" s="1518"/>
      <c r="D12" s="2140"/>
      <c r="E12" s="2237"/>
      <c r="F12" s="2208"/>
      <c r="G12" s="2209"/>
      <c r="H12" s="2260"/>
      <c r="I12" s="2260"/>
      <c r="J12" s="2237"/>
      <c r="V12" s="1609">
        <v>14</v>
      </c>
    </row>
    <row s="1643" customFormat="1" customHeight="1" ht="11.25" hidden="1">
      <c r="C13" s="500"/>
      <c r="D13" s="501" t="s">
        <v>371</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56" t="s">
        <v>106</v>
      </c>
      <c r="E14" s="2258"/>
      <c r="F14" s="1619"/>
      <c r="G14" s="1618" t="s">
        <v>106</v>
      </c>
      <c r="H14" s="1625"/>
      <c r="I14" s="1623"/>
      <c r="J14" s="2184" t="s">
        <v>382</v>
      </c>
      <c r="K14" s="1609"/>
      <c r="R14" s="502" t="s">
        <v>376</v>
      </c>
      <c r="S14" s="502" t="s">
        <v>376</v>
      </c>
      <c r="V14" s="1609">
        <v>14</v>
      </c>
    </row>
    <row customHeight="1" ht="14.699999999999998">
      <c r="A15" s="1609"/>
      <c r="C15" s="1518"/>
      <c r="D15" s="2257"/>
      <c r="E15" s="2259"/>
      <c r="F15" s="407"/>
      <c r="G15" s="871"/>
      <c r="H15" s="871" t="s">
        <v>378</v>
      </c>
      <c r="I15" s="315"/>
      <c r="J15" s="2185"/>
      <c r="K15" s="1609"/>
      <c r="R15" s="502"/>
      <c r="S15" s="502"/>
      <c r="V15" s="1609">
        <v>14</v>
      </c>
    </row>
    <row customHeight="1" ht="14.699999999999998">
      <c r="A16" s="1609"/>
      <c r="C16" s="1518"/>
      <c r="D16" s="407"/>
      <c r="E16" s="871" t="s">
        <v>118</v>
      </c>
      <c r="F16" s="315"/>
      <c r="G16" s="315"/>
      <c r="H16" s="408"/>
      <c r="I16" s="408"/>
      <c r="J16" s="2186"/>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BB5FB7-8128-26DE-4102-9F7BFB64059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1"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0"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61" t="s">
        <v>383</v>
      </c>
      <c r="F4" s="2261"/>
      <c r="G4" s="2262"/>
      <c r="H4" s="2262"/>
      <c r="I4" s="2263"/>
      <c r="J4" s="493"/>
      <c r="K4" s="455"/>
      <c r="L4" s="455"/>
      <c r="W4" s="449">
        <v>22</v>
      </c>
    </row>
    <row s="1637" customFormat="1" customHeight="1" ht="18">
      <c r="A5" s="761"/>
      <c r="D5" s="824"/>
      <c r="E5" s="2249" t="str">
        <f>IF(org=0,"Не определено",org)</f>
        <v>Муниципальное унитарное предприятие "Невельские коммунальные сети"</v>
      </c>
      <c r="F5" s="2249"/>
      <c r="G5" s="2250"/>
      <c r="H5" s="2250"/>
      <c r="I5" s="2251"/>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31" t="s">
        <v>295</v>
      </c>
      <c r="F7" s="2231"/>
      <c r="G7" s="2232"/>
      <c r="H7" s="2232"/>
      <c r="I7" s="2232"/>
      <c r="J7" s="2232"/>
      <c r="K7" s="2232"/>
      <c r="L7" s="2237" t="s">
        <v>296</v>
      </c>
      <c r="W7" s="449">
        <v>14</v>
      </c>
    </row>
    <row customHeight="1" ht="48.29999999999999">
      <c r="D8" s="452"/>
      <c r="E8" s="475" t="s">
        <v>88</v>
      </c>
      <c r="F8" s="825"/>
      <c r="G8" s="467" t="s">
        <v>86</v>
      </c>
      <c r="H8" s="467" t="s">
        <v>87</v>
      </c>
      <c r="I8" s="416" t="s">
        <v>85</v>
      </c>
      <c r="J8" s="416" t="s">
        <v>384</v>
      </c>
      <c r="K8" s="416" t="s">
        <v>385</v>
      </c>
      <c r="L8" s="2237"/>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47" t="s">
        <v>386</v>
      </c>
      <c r="M10" s="509"/>
      <c r="N10" s="507"/>
      <c r="O10" s="507"/>
      <c r="P10" s="507"/>
      <c r="Q10" s="507"/>
      <c r="R10" s="507"/>
      <c r="S10" s="507"/>
      <c r="T10" s="507"/>
      <c r="U10" s="507"/>
      <c r="V10" s="507"/>
      <c r="W10" s="449">
        <v>0</v>
      </c>
    </row>
    <row customHeight="1" ht="15" hidden="1">
      <c r="A11" s="2122"/>
      <c r="B11" s="506"/>
      <c r="C11" s="506"/>
      <c r="D11" s="867"/>
      <c r="E11" s="515"/>
      <c r="F11" s="515"/>
      <c r="G11" s="515"/>
      <c r="H11" s="515"/>
      <c r="I11" s="516"/>
      <c r="J11" s="517"/>
      <c r="K11" s="715"/>
      <c r="L11" s="2264"/>
      <c r="M11" s="513"/>
      <c r="N11" s="513"/>
      <c r="O11" s="513"/>
      <c r="P11" s="518"/>
      <c r="Q11" s="518"/>
      <c r="R11" s="519"/>
      <c r="S11" s="513"/>
      <c r="T11" s="513"/>
      <c r="U11" s="513"/>
      <c r="V11" s="513"/>
      <c r="W11" s="449">
        <v>0</v>
      </c>
    </row>
    <row s="1614" customFormat="1" customHeight="1" ht="15">
      <c r="A12" s="2122"/>
      <c r="B12" s="506"/>
      <c r="C12" s="506"/>
      <c r="D12" s="868"/>
      <c r="E12" s="825">
        <v>1</v>
      </c>
      <c r="F12" s="866">
        <v>23</v>
      </c>
      <c r="G12" s="865"/>
      <c r="H12" s="795"/>
      <c r="I12" s="793"/>
      <c r="J12" s="522" t="s">
        <v>65</v>
      </c>
      <c r="K12" s="1166" t="s">
        <v>22</v>
      </c>
      <c r="L12" s="2264"/>
      <c r="M12" s="513"/>
      <c r="N12" s="513"/>
      <c r="O12" s="513"/>
      <c r="P12" s="518" t="s">
        <v>387</v>
      </c>
      <c r="Q12" s="518" t="s">
        <v>388</v>
      </c>
      <c r="R12" s="519" t="s">
        <v>389</v>
      </c>
      <c r="S12" s="513" t="s">
        <v>390</v>
      </c>
      <c r="T12" s="513"/>
      <c r="U12" s="513"/>
      <c r="V12" s="513"/>
      <c r="W12" s="482">
        <v>14</v>
      </c>
    </row>
    <row customHeight="1" ht="15.75">
      <c r="A13" s="2122"/>
      <c r="B13" s="507"/>
      <c r="D13" s="508"/>
      <c r="E13" s="407"/>
      <c r="F13" s="531"/>
      <c r="G13" s="418" t="s">
        <v>99</v>
      </c>
      <c r="H13" s="406"/>
      <c r="I13" s="406"/>
      <c r="J13" s="406"/>
      <c r="K13" s="405"/>
      <c r="L13" s="2248"/>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2FDA8-DE16-F47E-7225-EF6E3CC91F4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77">
        <v>1</v>
      </c>
      <c r="F2" s="1365"/>
      <c r="G2" s="1365"/>
      <c r="H2" s="1365"/>
      <c r="I2" s="1365"/>
      <c r="J2" s="1365"/>
      <c r="K2" s="1365"/>
      <c r="L2" s="1366"/>
      <c r="M2" s="1367"/>
      <c r="N2" s="1367"/>
      <c r="O2" s="1367"/>
      <c r="P2" s="363"/>
      <c r="Q2" s="362"/>
      <c r="R2" s="357"/>
      <c r="S2" s="1311">
        <f>INDEX(PT_DIFFERENTIATION_NUM_NTAR,MATCH(A2,PT_DIFFERENTIATION_NTAR_ID,0))</f>
      </c>
      <c r="T2" s="300"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502"/>
      <c r="AP2" s="502" t="str">
        <f>IF(T2="","",T2)</f>
        <v>Наименование тарифа</v>
      </c>
      <c r="AQ2" s="502"/>
      <c r="AR2" s="502"/>
      <c r="AS2" s="1157">
        <v>0</v>
      </c>
    </row>
    <row customHeight="1" ht="21" hidden="1">
      <c r="A3" s="1365"/>
      <c r="B3" s="1365"/>
      <c r="C3" s="1365"/>
      <c r="D3" s="1365"/>
      <c r="E3" s="2278"/>
      <c r="F3" s="2277">
        <v>1</v>
      </c>
      <c r="G3" s="1365"/>
      <c r="H3" s="1365"/>
      <c r="I3" s="1365"/>
      <c r="J3" s="1365"/>
      <c r="K3" s="1365"/>
      <c r="L3" s="1366"/>
      <c r="M3" s="1367"/>
      <c r="N3" s="1367"/>
      <c r="O3" s="1367"/>
      <c r="P3" s="1306"/>
      <c r="Q3" s="354"/>
      <c r="R3" s="355"/>
      <c r="S3" s="1311">
        <f>INDEX(PT_DIFFERENTIATION_NUM_TER,MATCH(B3,PT_DIFFERENTIATION_TER_ID,0))</f>
      </c>
      <c r="T3" s="310"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502"/>
      <c r="AP3" s="502" t="str">
        <f>IF(T3="","",T3)</f>
        <v>Территория действия тарифа</v>
      </c>
      <c r="AQ3" s="502"/>
      <c r="AR3" s="502"/>
      <c r="AS3" s="1157">
        <v>0</v>
      </c>
    </row>
    <row customHeight="1" ht="23.25" hidden="1">
      <c r="A4" s="1365"/>
      <c r="B4" s="1365"/>
      <c r="C4" s="1365"/>
      <c r="D4" s="1365"/>
      <c r="E4" s="2278"/>
      <c r="F4" s="2278"/>
      <c r="G4" s="2277">
        <v>1</v>
      </c>
      <c r="H4" s="1365"/>
      <c r="I4" s="1365"/>
      <c r="J4" s="1365"/>
      <c r="K4" s="1365"/>
      <c r="L4" s="1366"/>
      <c r="M4" s="1367"/>
      <c r="N4" s="1367"/>
      <c r="O4" s="1367"/>
      <c r="P4" s="356"/>
      <c r="Q4" s="354"/>
      <c r="R4" s="355"/>
      <c r="S4" s="1311">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502"/>
      <c r="AP4" s="502" t="str">
        <f>IF(T4="","",T4)</f>
        <v>Наименование системы теплоснабжения </v>
      </c>
      <c r="AQ4" s="502"/>
      <c r="AR4" s="502"/>
      <c r="AS4" s="1157">
        <v>0</v>
      </c>
    </row>
    <row customHeight="1" ht="21" hidden="1">
      <c r="A5" s="1365"/>
      <c r="B5" s="1365"/>
      <c r="C5" s="1365"/>
      <c r="D5" s="1365"/>
      <c r="E5" s="2278"/>
      <c r="F5" s="2278"/>
      <c r="G5" s="2278"/>
      <c r="H5" s="2277">
        <v>1</v>
      </c>
      <c r="I5" s="1365"/>
      <c r="J5" s="1365"/>
      <c r="K5" s="1365"/>
      <c r="L5" s="1366"/>
      <c r="M5" s="1367"/>
      <c r="N5" s="1367"/>
      <c r="O5" s="1367"/>
      <c r="P5" s="356"/>
      <c r="Q5" s="354"/>
      <c r="R5" s="355"/>
      <c r="S5" s="1311">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502"/>
      <c r="AP5" s="502" t="str">
        <f>IF(T5="","",T5)</f>
        <v>Источник тепловой энергии  </v>
      </c>
      <c r="AQ5" s="502"/>
      <c r="AR5" s="502"/>
      <c r="AS5" s="1157">
        <v>0</v>
      </c>
    </row>
    <row customHeight="1" ht="47.25" hidden="1">
      <c r="A6" s="1365"/>
      <c r="B6" s="1365"/>
      <c r="C6" s="1365"/>
      <c r="D6" s="1365"/>
      <c r="E6" s="2278"/>
      <c r="F6" s="2278"/>
      <c r="G6" s="2278"/>
      <c r="H6" s="2278"/>
      <c r="I6" s="2279">
        <f>S5&amp;".1"</f>
      </c>
      <c r="J6" s="1365"/>
      <c r="K6" s="1365"/>
      <c r="L6" s="1366" t="s">
        <v>398</v>
      </c>
      <c r="M6" s="539"/>
      <c r="P6" s="2281">
        <v>1</v>
      </c>
      <c r="Q6" s="1307"/>
      <c r="R6" s="358"/>
      <c r="S6" s="1311">
        <f>$I6</f>
      </c>
      <c r="T6" s="287" t="s">
        <v>399</v>
      </c>
      <c r="U6" s="302"/>
      <c r="V6" s="2265"/>
      <c r="W6" s="2266"/>
      <c r="X6" s="2266"/>
      <c r="Y6" s="2266"/>
      <c r="Z6" s="2266"/>
      <c r="AA6" s="2266"/>
      <c r="AB6" s="2266"/>
      <c r="AC6" s="2267"/>
      <c r="AD6" s="2265"/>
      <c r="AE6" s="2266"/>
      <c r="AF6" s="2266"/>
      <c r="AG6" s="2266"/>
      <c r="AH6" s="2266"/>
      <c r="AI6" s="2266"/>
      <c r="AJ6" s="2266"/>
      <c r="AK6" s="2266"/>
      <c r="AL6" s="2267"/>
      <c r="AM6" s="1260" t="s">
        <v>400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78"/>
      <c r="F7" s="2278"/>
      <c r="G7" s="2278"/>
      <c r="H7" s="2278"/>
      <c r="I7" s="2280"/>
      <c r="J7" s="2279">
        <f>I6&amp;".1"</f>
      </c>
      <c r="K7" s="1365"/>
      <c r="L7" s="1366" t="s">
        <v>401</v>
      </c>
      <c r="M7" s="539"/>
      <c r="N7" s="1368"/>
      <c r="P7" s="2281"/>
      <c r="Q7" s="2281">
        <v>1</v>
      </c>
      <c r="R7" s="359"/>
      <c r="S7" s="1311">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502"/>
      <c r="AP7" s="502" t="str">
        <f>IF(T7="","",T7)</f>
        <v>Группа потребителей</v>
      </c>
      <c r="AQ7" s="502"/>
      <c r="AR7" s="502"/>
      <c r="AS7" s="1157">
        <v>0</v>
      </c>
    </row>
    <row customHeight="1" ht="21" hidden="1">
      <c r="A8" s="1365"/>
      <c r="B8" s="1365"/>
      <c r="C8" s="1365"/>
      <c r="D8" s="1365"/>
      <c r="E8" s="2278"/>
      <c r="F8" s="2278"/>
      <c r="G8" s="2278"/>
      <c r="H8" s="2278"/>
      <c r="I8" s="2280"/>
      <c r="J8" s="2280"/>
      <c r="K8" s="2279">
        <f>J7&amp;".1"</f>
      </c>
      <c r="L8" s="1366" t="s">
        <v>404</v>
      </c>
      <c r="M8" s="539"/>
      <c r="N8" s="1368"/>
      <c r="O8" s="1368"/>
      <c r="P8" s="2281"/>
      <c r="Q8" s="2281"/>
      <c r="R8" s="359">
        <v>1</v>
      </c>
      <c r="S8" s="1311">
        <f>$K8</f>
      </c>
      <c r="T8" s="1349"/>
      <c r="U8" s="302"/>
      <c r="V8" s="753"/>
      <c r="W8" s="327"/>
      <c r="X8" s="753"/>
      <c r="Y8" s="1259"/>
      <c r="Z8" s="2282"/>
      <c r="AA8" s="2150" t="s">
        <v>65</v>
      </c>
      <c r="AB8" s="2282"/>
      <c r="AC8" s="2150" t="s">
        <v>65</v>
      </c>
      <c r="AD8" s="753"/>
      <c r="AE8" s="327"/>
      <c r="AF8" s="753"/>
      <c r="AG8" s="1259"/>
      <c r="AH8" s="2282"/>
      <c r="AI8" s="2150" t="s">
        <v>65</v>
      </c>
      <c r="AJ8" s="2282"/>
      <c r="AK8" s="2150" t="s">
        <v>65</v>
      </c>
      <c r="AL8" s="327"/>
      <c r="AM8" s="2307" t="s">
        <v>405</v>
      </c>
      <c r="AN8" s="513">
        <f>STRCHECKDATE(V9:AL9)</f>
      </c>
      <c r="AO8" s="502"/>
      <c r="AP8" s="502" t="str">
        <f>IF(T8="","",T8)</f>
        <v/>
      </c>
      <c r="AQ8" s="502"/>
      <c r="AR8" s="502"/>
      <c r="AS8" s="1157">
        <v>0</v>
      </c>
    </row>
    <row customHeight="1" ht="0.75" hidden="1">
      <c r="A9" s="1365"/>
      <c r="B9" s="1365"/>
      <c r="C9" s="1365"/>
      <c r="D9" s="1365"/>
      <c r="E9" s="2278"/>
      <c r="F9" s="2278"/>
      <c r="G9" s="2278"/>
      <c r="H9" s="2278"/>
      <c r="I9" s="2280"/>
      <c r="J9" s="2280"/>
      <c r="K9" s="2279"/>
      <c r="L9" s="1366"/>
      <c r="M9" s="539"/>
      <c r="N9" s="1368"/>
      <c r="O9" s="1368"/>
      <c r="P9" s="2281"/>
      <c r="Q9" s="2281"/>
      <c r="R9" s="359"/>
      <c r="S9" s="1308"/>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502"/>
      <c r="AP9" s="502" t="str">
        <f>IF(T9="","",T9)</f>
        <v/>
      </c>
      <c r="AQ9" s="502"/>
      <c r="AR9" s="502"/>
      <c r="AS9" s="1157">
        <v>0</v>
      </c>
    </row>
    <row customHeight="1" ht="15" hidden="1">
      <c r="A10" s="1365"/>
      <c r="B10" s="1365"/>
      <c r="C10" s="1365"/>
      <c r="D10" s="1365"/>
      <c r="E10" s="2278"/>
      <c r="F10" s="2278"/>
      <c r="G10" s="2278"/>
      <c r="H10" s="2278"/>
      <c r="I10" s="2280"/>
      <c r="J10" s="2279"/>
      <c r="K10" s="1365"/>
      <c r="L10" s="1366"/>
      <c r="M10" s="539"/>
      <c r="N10" s="1368"/>
      <c r="P10" s="2281"/>
      <c r="Q10" s="2281"/>
      <c r="R10" s="358"/>
      <c r="S10" s="1280"/>
      <c r="T10" s="290" t="s">
        <v>406</v>
      </c>
      <c r="U10" s="369"/>
      <c r="V10" s="369"/>
      <c r="W10" s="369"/>
      <c r="X10" s="369"/>
      <c r="Y10" s="369"/>
      <c r="Z10" s="369"/>
      <c r="AA10" s="369"/>
      <c r="AB10" s="369"/>
      <c r="AC10" s="369"/>
      <c r="AD10" s="369"/>
      <c r="AE10" s="369"/>
      <c r="AF10" s="369"/>
      <c r="AG10" s="369"/>
      <c r="AH10" s="369"/>
      <c r="AI10" s="369"/>
      <c r="AJ10" s="369"/>
      <c r="AK10" s="369"/>
      <c r="AL10" s="326"/>
      <c r="AM10" s="2309"/>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78"/>
      <c r="F11" s="2278"/>
      <c r="G11" s="2278"/>
      <c r="H11" s="2278"/>
      <c r="I11" s="2279"/>
      <c r="J11" s="1365"/>
      <c r="K11" s="1365"/>
      <c r="L11" s="1366"/>
      <c r="M11" s="539"/>
      <c r="P11" s="2281"/>
      <c r="Q11" s="1307"/>
      <c r="R11" s="358"/>
      <c r="S11" s="1280"/>
      <c r="T11" s="289" t="s">
        <v>407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78"/>
      <c r="F12" s="2278"/>
      <c r="G12" s="2278"/>
      <c r="H12" s="2277"/>
      <c r="I12" s="1365"/>
      <c r="J12" s="1365"/>
      <c r="K12" s="1365"/>
      <c r="L12" s="1366"/>
      <c r="M12" s="1367"/>
      <c r="N12" s="1367"/>
      <c r="O12" s="539"/>
      <c r="P12" s="362"/>
      <c r="Q12" s="377"/>
      <c r="R12" s="357"/>
      <c r="S12" s="1280"/>
      <c r="T12" s="367" t="s">
        <v>408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78"/>
      <c r="F13" s="2278"/>
      <c r="G13" s="2277"/>
      <c r="H13" s="1316"/>
      <c r="I13" s="1316"/>
      <c r="J13" s="1316"/>
      <c r="K13" s="1316"/>
      <c r="L13" s="1341"/>
      <c r="M13" s="1317"/>
      <c r="N13" s="131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78"/>
      <c r="F14" s="2277"/>
      <c r="G14" s="1316"/>
      <c r="H14" s="1316"/>
      <c r="I14" s="1316"/>
      <c r="J14" s="1316"/>
      <c r="K14" s="1316"/>
      <c r="L14" s="1341"/>
      <c r="M14" s="1323"/>
      <c r="N14" s="132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77"/>
      <c r="F15" s="1316"/>
      <c r="G15" s="1316"/>
      <c r="H15" s="1316"/>
      <c r="I15" s="1316"/>
      <c r="J15" s="1316"/>
      <c r="K15" s="1316"/>
      <c r="L15" s="1341"/>
      <c r="M15" s="1323"/>
      <c r="N15" s="132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75"/>
      <c r="AI17" s="2274" t="s">
        <v>65</v>
      </c>
      <c r="AJ17" s="2275"/>
      <c r="AK17" s="2274" t="s">
        <v>65</v>
      </c>
      <c r="AS17" s="1157">
        <v>0</v>
      </c>
    </row>
    <row customHeight="1" ht="14.25" hidden="1">
      <c r="P18" s="1313"/>
      <c r="AD18" s="1362"/>
      <c r="AE18" s="1362"/>
      <c r="AF18" s="1362"/>
      <c r="AG18" s="330" t="str">
        <f>AH17&amp;"-"&amp;AJ17</f>
        <v>-</v>
      </c>
      <c r="AH18" s="2274"/>
      <c r="AI18" s="2274"/>
      <c r="AJ18" s="2274"/>
      <c r="AK18" s="2274"/>
      <c r="AS18" s="1157">
        <v>0</v>
      </c>
    </row>
    <row customHeight="1" ht="14.25" hidden="1">
      <c r="P19" s="1313"/>
      <c r="AK19" s="329"/>
      <c r="AS19" s="1157">
        <v>0</v>
      </c>
    </row>
    <row s="1368" customFormat="1" customHeight="1" ht="22.5" hidden="1">
      <c r="L20" s="1331"/>
      <c r="M20" s="1364"/>
      <c r="N20" s="1364"/>
      <c r="O20" s="1369" t="s">
        <v>412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413</v>
      </c>
      <c r="P22" s="1364"/>
      <c r="Q22" s="1373"/>
      <c r="R22" s="1373"/>
      <c r="S22" s="731"/>
      <c r="T22" s="1162" t="s">
        <v>414</v>
      </c>
      <c r="AA22" s="188" t="s">
        <v>415</v>
      </c>
      <c r="AC22" s="188" t="s">
        <v>416</v>
      </c>
      <c r="AD22" s="1162" t="s">
        <v>414</v>
      </c>
      <c r="AI22" s="188" t="s">
        <v>417</v>
      </c>
      <c r="AK22" s="188" t="s">
        <v>416</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3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0"/>
      <c r="U26" s="2310"/>
      <c r="V26" s="2310"/>
      <c r="W26" s="2310"/>
      <c r="X26" s="2310"/>
      <c r="Y26" s="2310"/>
      <c r="Z26" s="2310"/>
      <c r="AA26" s="2310"/>
      <c r="AB26" s="2310"/>
      <c r="AC26" s="2310"/>
      <c r="AD26" s="2310"/>
      <c r="AE26" s="2310"/>
      <c r="AF26" s="2310"/>
      <c r="AG26" s="2310"/>
      <c r="AH26" s="2310"/>
      <c r="AI26" s="2310"/>
      <c r="AJ26" s="2310"/>
      <c r="AK26" s="1245"/>
      <c r="AS26" s="1157">
        <v>14</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2" customFormat="1" customHeight="1" ht="25.5" hidden="1">
      <c r="A29" s="1370"/>
      <c r="B29" s="1370"/>
      <c r="C29" s="1370"/>
      <c r="D29" s="1370"/>
      <c r="E29" s="1370"/>
      <c r="F29" s="1370"/>
      <c r="G29" s="1370"/>
      <c r="H29" s="1370"/>
      <c r="I29" s="1370"/>
      <c r="J29" s="1370"/>
      <c r="K29" s="1370"/>
      <c r="L29" s="1371"/>
      <c r="M29" s="1370"/>
      <c r="N29" s="1370"/>
      <c r="O29" s="137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328"/>
      <c r="AD29" s="2270" t="str">
        <f>IF(TITLE_NAME_OR_PR_CHANGE="",IF(TITLE_NAME_OR_PR="","",TITLE_NAME_OR_PR),TITLE_NAME_OR_PR_CHANGE)</f>
        <v/>
      </c>
      <c r="AE29" s="2270"/>
      <c r="AF29" s="2270"/>
      <c r="AG29" s="2270"/>
      <c r="AH29" s="2270"/>
      <c r="AI29" s="2270"/>
      <c r="AJ29" s="2270"/>
      <c r="AK29" s="328"/>
      <c r="AL29" s="328"/>
      <c r="AM29" s="282"/>
      <c r="AN29" s="370"/>
      <c r="AO29" s="370"/>
      <c r="AP29" s="370"/>
      <c r="AQ29" s="370"/>
      <c r="AR29" s="370"/>
      <c r="AS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328"/>
      <c r="AD30" s="2269" t="str">
        <f>IF(TITLE_DATE_PR_CHANGE="",IF(TITLE_DATE_PR="","",TITLE_DATE_PR),TITLE_DATE_PR_CHANGE)</f>
        <v/>
      </c>
      <c r="AE30" s="2269"/>
      <c r="AF30" s="2269"/>
      <c r="AG30" s="2269"/>
      <c r="AH30" s="2269"/>
      <c r="AI30" s="2269"/>
      <c r="AJ30" s="2269"/>
      <c r="AK30" s="328"/>
      <c r="AL30" s="328"/>
      <c r="AM30" s="282"/>
      <c r="AN30" s="370"/>
      <c r="AO30" s="370"/>
      <c r="AP30" s="370"/>
      <c r="AQ30" s="370"/>
      <c r="AR30" s="370"/>
      <c r="AS30" s="420">
        <v>0</v>
      </c>
    </row>
    <row s="1852" customFormat="1" customHeight="1" ht="18.75" hidden="1">
      <c r="A31" s="1370"/>
      <c r="B31" s="1370"/>
      <c r="C31" s="1370"/>
      <c r="D31" s="1370"/>
      <c r="E31" s="1370"/>
      <c r="F31" s="1370"/>
      <c r="G31" s="1370"/>
      <c r="H31" s="1370"/>
      <c r="I31" s="1370"/>
      <c r="J31" s="1370"/>
      <c r="K31" s="1370"/>
      <c r="L31" s="1371"/>
      <c r="M31" s="1370"/>
      <c r="N31" s="1370"/>
      <c r="O31" s="137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328"/>
      <c r="AD31" s="2270" t="str">
        <f>IF(TITLE_NUMBER_PR_CHANGE="",IF(TITLE_NUMBER_PR="","",TITLE_NUMBER_PR),TITLE_NUMBER_PR_CHANGE)</f>
        <v/>
      </c>
      <c r="AE31" s="2270"/>
      <c r="AF31" s="2270"/>
      <c r="AG31" s="2270"/>
      <c r="AH31" s="2270"/>
      <c r="AI31" s="2270"/>
      <c r="AJ31" s="2270"/>
      <c r="AK31" s="328"/>
      <c r="AL31" s="328"/>
      <c r="AM31" s="282"/>
      <c r="AN31" s="370"/>
      <c r="AO31" s="370"/>
      <c r="AP31" s="370"/>
      <c r="AQ31" s="370"/>
      <c r="AR31" s="370"/>
      <c r="AS31" s="420">
        <v>0</v>
      </c>
    </row>
    <row s="1852" customFormat="1" customHeight="1" ht="18.75" hidden="1">
      <c r="A32" s="1370"/>
      <c r="B32" s="1370"/>
      <c r="C32" s="1370"/>
      <c r="D32" s="1370"/>
      <c r="E32" s="1370"/>
      <c r="F32" s="1370"/>
      <c r="G32" s="1370"/>
      <c r="H32" s="1370"/>
      <c r="I32" s="1370"/>
      <c r="J32" s="1370"/>
      <c r="K32" s="1370"/>
      <c r="L32" s="1371"/>
      <c r="M32" s="1370"/>
      <c r="N32" s="1370"/>
      <c r="O32" s="1370"/>
      <c r="S32" s="2268" t="s">
        <v>43</v>
      </c>
      <c r="T32" s="2268"/>
      <c r="U32" s="1374"/>
      <c r="V32" s="2270" t="str">
        <f>IF(TITLE_IST_PUB_CHANGE="",IF(TITLE_IST_PUB="","",TITLE_IST_PUB),TITLE_IST_PUB_CHANGE)</f>
        <v/>
      </c>
      <c r="W32" s="2270"/>
      <c r="X32" s="2270"/>
      <c r="Y32" s="2270"/>
      <c r="Z32" s="2270"/>
      <c r="AA32" s="2270"/>
      <c r="AB32" s="2270"/>
      <c r="AC32" s="328"/>
      <c r="AD32" s="2270" t="str">
        <f>IF(TITLE_IST_PUB_CHANGE="",IF(TITLE_IST_PUB="","",TITLE_IST_PUB),TITLE_IST_PUB_CHANGE)</f>
        <v/>
      </c>
      <c r="AE32" s="2270"/>
      <c r="AF32" s="2270"/>
      <c r="AG32" s="2270"/>
      <c r="AH32" s="2270"/>
      <c r="AI32" s="2270"/>
      <c r="AJ32" s="2270"/>
      <c r="AK32" s="328"/>
      <c r="AL32" s="328"/>
      <c r="AM32" s="282"/>
      <c r="AN32" s="370"/>
      <c r="AO32" s="370"/>
      <c r="AP32" s="370"/>
      <c r="AQ32" s="370"/>
      <c r="AR32" s="370"/>
      <c r="AS32" s="420">
        <v>0</v>
      </c>
    </row>
    <row customHeight="1" ht="14.25" hidden="1">
      <c r="P33" s="1330"/>
      <c r="Q33" s="378"/>
      <c r="R33" s="378"/>
      <c r="S33" s="1277"/>
      <c r="T33" s="459"/>
      <c r="U33" s="365"/>
      <c r="V33" s="324"/>
      <c r="W33" s="324"/>
      <c r="X33" s="324"/>
      <c r="Y33" s="324"/>
      <c r="Z33" s="324"/>
      <c r="AA33" s="324"/>
      <c r="AB33" s="324"/>
      <c r="AC33" s="324"/>
      <c r="AD33" s="324"/>
      <c r="AE33" s="324"/>
      <c r="AF33" s="324"/>
      <c r="AG33" s="324"/>
      <c r="AH33" s="324"/>
      <c r="AI33" s="324"/>
      <c r="AJ33" s="324"/>
      <c r="AK33" s="324"/>
      <c r="AL33" s="511"/>
      <c r="AS33" s="1157">
        <v>0</v>
      </c>
    </row>
    <row s="1852" customFormat="1" customHeight="1" ht="18.75" hidden="1">
      <c r="A34" s="1370"/>
      <c r="B34" s="1370"/>
      <c r="C34" s="1370"/>
      <c r="D34" s="1370"/>
      <c r="E34" s="1370"/>
      <c r="F34" s="1370"/>
      <c r="G34" s="1370"/>
      <c r="H34" s="1370"/>
      <c r="I34" s="1370"/>
      <c r="J34" s="1370"/>
      <c r="K34" s="1370"/>
      <c r="L34" s="1371"/>
      <c r="M34" s="1370"/>
      <c r="N34" s="1370"/>
      <c r="O34" s="137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328"/>
      <c r="AD34" s="2269" t="str">
        <f>IF(TITLE_DATE_PR_CHANGE="",IF(TITLE_DATE_PR="","",TITLE_DATE_PR),TITLE_DATE_PR_CHANGE)</f>
        <v/>
      </c>
      <c r="AE34" s="2269"/>
      <c r="AF34" s="2269"/>
      <c r="AG34" s="2269"/>
      <c r="AH34" s="2269"/>
      <c r="AI34" s="2269"/>
      <c r="AJ34" s="2269"/>
      <c r="AK34" s="328"/>
      <c r="AL34" s="328"/>
      <c r="AM34" s="282"/>
      <c r="AN34" s="370"/>
      <c r="AO34" s="370"/>
      <c r="AP34" s="370"/>
      <c r="AQ34" s="370"/>
      <c r="AR34" s="370"/>
      <c r="AS34" s="420">
        <v>0</v>
      </c>
    </row>
    <row s="1852" customFormat="1" customHeight="1" ht="18.75" hidden="1">
      <c r="A35" s="1370"/>
      <c r="B35" s="1370"/>
      <c r="C35" s="1370"/>
      <c r="D35" s="1370"/>
      <c r="E35" s="1370"/>
      <c r="F35" s="1370"/>
      <c r="G35" s="1370"/>
      <c r="H35" s="1370"/>
      <c r="I35" s="1370"/>
      <c r="J35" s="1370"/>
      <c r="K35" s="1370"/>
      <c r="L35" s="1371"/>
      <c r="M35" s="1370"/>
      <c r="N35" s="1370"/>
      <c r="O35" s="137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328"/>
      <c r="AD35" s="2270" t="str">
        <f>IF(TITLE_NUMBER_PR_CHANGE="",IF(TITLE_NUMBER_PR="","",TITLE_NUMBER_PR),TITLE_NUMBER_PR_CHANGE)</f>
        <v/>
      </c>
      <c r="AE35" s="2270"/>
      <c r="AF35" s="2270"/>
      <c r="AG35" s="2270"/>
      <c r="AH35" s="2270"/>
      <c r="AI35" s="2270"/>
      <c r="AJ35" s="2270"/>
      <c r="AK35" s="328"/>
      <c r="AL35" s="328"/>
      <c r="AM35" s="282"/>
      <c r="AN35" s="370"/>
      <c r="AO35" s="370"/>
      <c r="AP35" s="370"/>
      <c r="AQ35" s="370"/>
      <c r="AR35" s="370"/>
      <c r="AS35" s="420">
        <v>0</v>
      </c>
    </row>
    <row s="1852"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418</v>
      </c>
      <c r="AD36" s="328"/>
      <c r="AE36" s="328"/>
      <c r="AF36" s="328"/>
      <c r="AG36" s="328"/>
      <c r="AH36" s="328"/>
      <c r="AI36" s="328"/>
      <c r="AJ36" s="328"/>
      <c r="AK36" s="280" t="s">
        <v>418</v>
      </c>
      <c r="AN36" s="370"/>
      <c r="AO36" s="370"/>
      <c r="AP36" s="370"/>
      <c r="AQ36" s="370"/>
      <c r="AR36" s="370"/>
      <c r="AS36" s="420">
        <v>0</v>
      </c>
    </row>
    <row customHeight="1" ht="14.699999999999998">
      <c r="Q37" s="378"/>
      <c r="R37" s="378"/>
      <c r="S37" s="1277"/>
      <c r="T37" s="365"/>
      <c r="U37" s="1246"/>
      <c r="V37" s="2294"/>
      <c r="W37" s="2294"/>
      <c r="X37" s="2294"/>
      <c r="Y37" s="2294"/>
      <c r="Z37" s="2294"/>
      <c r="AA37" s="2294"/>
      <c r="AB37" s="2294"/>
      <c r="AC37" s="2294"/>
      <c r="AD37" s="2294"/>
      <c r="AE37" s="2294"/>
      <c r="AF37" s="2294"/>
      <c r="AG37" s="2294"/>
      <c r="AH37" s="2294"/>
      <c r="AI37" s="2294"/>
      <c r="AJ37" s="2294"/>
      <c r="AK37" s="2294"/>
      <c r="AS37" s="1157">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157">
        <v>14</v>
      </c>
    </row>
    <row customHeight="1" ht="14.699999999999998">
      <c r="Q39" s="378"/>
      <c r="R39" s="378"/>
      <c r="S39" s="2295" t="s">
        <v>88</v>
      </c>
      <c r="T39" s="2232" t="s">
        <v>419</v>
      </c>
      <c r="U39" s="303"/>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157">
        <v>14</v>
      </c>
    </row>
    <row customHeight="1" ht="35.699999999999996">
      <c r="Q40" s="378"/>
      <c r="R40" s="378"/>
      <c r="S40" s="2295"/>
      <c r="T40" s="2232"/>
      <c r="U40" s="1033"/>
      <c r="V40" s="2305" t="s">
        <v>424</v>
      </c>
      <c r="W40" s="2635" t="s">
        <v>425</v>
      </c>
      <c r="X40" s="2288" t="s">
        <v>426</v>
      </c>
      <c r="Y40" s="2290"/>
      <c r="Z40" s="2288" t="s">
        <v>427</v>
      </c>
      <c r="AA40" s="2289"/>
      <c r="AB40" s="2290"/>
      <c r="AC40" s="2300"/>
      <c r="AD40" s="2305" t="s">
        <v>424</v>
      </c>
      <c r="AE40" s="2286" t="s">
        <v>425</v>
      </c>
      <c r="AF40" s="2288" t="s">
        <v>426</v>
      </c>
      <c r="AG40" s="2290"/>
      <c r="AH40" s="2288" t="s">
        <v>427</v>
      </c>
      <c r="AI40" s="2289"/>
      <c r="AJ40" s="2290"/>
      <c r="AK40" s="2300"/>
      <c r="AL40" s="2303"/>
      <c r="AM40" s="2140"/>
      <c r="AS40" s="1157">
        <v>34</v>
      </c>
    </row>
    <row customHeight="1" ht="35.699999999999996">
      <c r="A41" s="1372"/>
      <c r="B41" s="1372" t="s">
        <v>132</v>
      </c>
      <c r="C41" s="1372" t="s">
        <v>133</v>
      </c>
      <c r="D41" s="1372" t="s">
        <v>134</v>
      </c>
      <c r="E41" s="1366" t="s">
        <v>428</v>
      </c>
      <c r="F41" s="1366" t="s">
        <v>429</v>
      </c>
      <c r="G41" s="1366" t="s">
        <v>430</v>
      </c>
      <c r="H41" s="1366" t="s">
        <v>431</v>
      </c>
      <c r="I41" s="1366" t="s">
        <v>432</v>
      </c>
      <c r="J41" s="1366" t="s">
        <v>433</v>
      </c>
      <c r="K41" s="1366" t="s">
        <v>434</v>
      </c>
      <c r="L41" s="1366" t="s">
        <v>413</v>
      </c>
      <c r="Q41" s="378"/>
      <c r="R41" s="378"/>
      <c r="S41" s="2295"/>
      <c r="T41" s="2232"/>
      <c r="U41" s="304"/>
      <c r="V41" s="2306"/>
      <c r="W41" s="2287"/>
      <c r="X41" s="1224" t="s">
        <v>435</v>
      </c>
      <c r="Y41" s="1224" t="s">
        <v>436</v>
      </c>
      <c r="Z41" s="1223" t="s">
        <v>437</v>
      </c>
      <c r="AA41" s="2291" t="s">
        <v>438</v>
      </c>
      <c r="AB41" s="2292"/>
      <c r="AC41" s="2301"/>
      <c r="AD41" s="2306"/>
      <c r="AE41" s="2287"/>
      <c r="AF41" s="1224" t="s">
        <v>435</v>
      </c>
      <c r="AG41" s="1224" t="s">
        <v>436</v>
      </c>
      <c r="AH41" s="1315" t="s">
        <v>437</v>
      </c>
      <c r="AI41" s="2291" t="s">
        <v>438</v>
      </c>
      <c r="AJ41" s="2292"/>
      <c r="AK41" s="2301"/>
      <c r="AL41" s="2304"/>
      <c r="AM41" s="2140"/>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106</v>
      </c>
      <c r="T42" s="1257" t="s">
        <v>107</v>
      </c>
      <c r="U42" s="1247" t="str">
        <f>OFFSET(U42,0,-1)</f>
        <v>2</v>
      </c>
      <c r="V42" s="1258">
        <f>OFFSET(V42,0,-1)+1</f>
        <v>3</v>
      </c>
      <c r="W42" s="1258"/>
      <c r="X42" s="1258">
        <f>OFFSET(X42,0,-1)+1</f>
        <v>1</v>
      </c>
      <c r="Y42" s="1258">
        <f>OFFSET(Y42,0,-1)+1</f>
        <v>2</v>
      </c>
      <c r="Z42" s="1258">
        <f>OFFSET(Z42,0,-1)+1</f>
        <v>3</v>
      </c>
      <c r="AA42" s="2293">
        <f>OFFSET(AA42,0,-1)+1</f>
        <v>4</v>
      </c>
      <c r="AB42" s="2293"/>
      <c r="AC42" s="1258">
        <f>OFFSET(AC42,0,-2)+1</f>
        <v>5</v>
      </c>
      <c r="AD42" s="1314">
        <f>OFFSET(AD42,0,-1)+1</f>
        <v>6</v>
      </c>
      <c r="AE42" s="1314"/>
      <c r="AF42" s="1314">
        <f>OFFSET(AF42,0,-1)+1</f>
        <v>1</v>
      </c>
      <c r="AG42" s="1314">
        <f>OFFSET(AG42,0,-1)+1</f>
        <v>2</v>
      </c>
      <c r="AH42" s="1314">
        <f>OFFSET(AH42,0,-1)+1</f>
        <v>3</v>
      </c>
      <c r="AI42" s="2293">
        <f>OFFSET(AI42,0,-1)+1</f>
        <v>4</v>
      </c>
      <c r="AJ42" s="2293"/>
      <c r="AK42" s="1314">
        <f>OFFSET(AK42,0,-2)+1</f>
        <v>5</v>
      </c>
      <c r="AL42" s="1247">
        <f>OFFSET(AL42,0,-1)</f>
        <v>5</v>
      </c>
      <c r="AM42" s="1258">
        <f>OFFSET(AM42,0,-1)+1</f>
        <v>6</v>
      </c>
      <c r="AN42" s="513"/>
      <c r="AO42" s="513"/>
      <c r="AP42" s="513"/>
      <c r="AQ42" s="513"/>
      <c r="AR42" s="513"/>
      <c r="AS42" s="498">
        <v>0</v>
      </c>
    </row>
    <row customHeight="1" ht="24">
      <c r="A43" s="1365" t="s">
        <v>153</v>
      </c>
      <c r="B43" s="1365"/>
      <c r="C43" s="1365"/>
      <c r="D43" s="1365"/>
      <c r="E43" s="2277">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153</v>
      </c>
      <c r="B44" s="1365" t="s">
        <v>154</v>
      </c>
      <c r="C44" s="1365"/>
      <c r="D44" s="1365"/>
      <c r="E44" s="2278"/>
      <c r="F44" s="2277">
        <v>1</v>
      </c>
      <c r="G44" s="1365"/>
      <c r="H44" s="1365"/>
      <c r="I44" s="1365"/>
      <c r="J44" s="1365"/>
      <c r="K44" s="1365"/>
      <c r="L44" s="1366"/>
      <c r="M44" s="1367"/>
      <c r="N44" s="1367"/>
      <c r="O44" s="1367"/>
      <c r="P44" s="524"/>
      <c r="Q44" s="354"/>
      <c r="R44" s="355"/>
      <c r="S44" s="1226" t="str">
        <f>INDEX(PT_DIFFERENTIATION_NUM_TER,MATCH(B44,PT_DIFFERENTIATION_TER_ID,0))</f>
        <v>.</v>
      </c>
      <c r="T44" s="310"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502"/>
      <c r="AP44" s="502" t="str">
        <f>IF(T44="","",T44)</f>
        <v>Территория действия тарифа</v>
      </c>
      <c r="AQ44" s="502"/>
      <c r="AR44" s="502"/>
      <c r="AS44" s="1157">
        <v>23</v>
      </c>
    </row>
    <row customHeight="1" ht="24">
      <c r="A45" s="1365" t="s">
        <v>153</v>
      </c>
      <c r="B45" s="1365" t="s">
        <v>154</v>
      </c>
      <c r="C45" s="1365" t="s">
        <v>155</v>
      </c>
      <c r="D45" s="1365"/>
      <c r="E45" s="2278"/>
      <c r="F45" s="2278"/>
      <c r="G45" s="2277">
        <v>1</v>
      </c>
      <c r="H45" s="1365"/>
      <c r="I45" s="1365"/>
      <c r="J45" s="1365"/>
      <c r="K45" s="1365"/>
      <c r="L45" s="1366"/>
      <c r="M45" s="1367"/>
      <c r="N45" s="1367"/>
      <c r="O45" s="1367"/>
      <c r="P45" s="356"/>
      <c r="Q45" s="354"/>
      <c r="R45" s="355"/>
      <c r="S45" s="1226"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502"/>
      <c r="AP45" s="502" t="str">
        <f>IF(T45="","",T45)</f>
        <v>Наименование системы теплоснабжения </v>
      </c>
      <c r="AQ45" s="502"/>
      <c r="AR45" s="502"/>
      <c r="AS45" s="1157">
        <v>23</v>
      </c>
    </row>
    <row customHeight="1" ht="24">
      <c r="A46" s="1365" t="s">
        <v>153</v>
      </c>
      <c r="B46" s="1365" t="s">
        <v>154</v>
      </c>
      <c r="C46" s="1365" t="s">
        <v>155</v>
      </c>
      <c r="D46" s="1365" t="s">
        <v>156</v>
      </c>
      <c r="E46" s="2278"/>
      <c r="F46" s="2278"/>
      <c r="G46" s="2278"/>
      <c r="H46" s="2277">
        <v>1</v>
      </c>
      <c r="I46" s="1365"/>
      <c r="J46" s="1365"/>
      <c r="K46" s="1365"/>
      <c r="L46" s="1366"/>
      <c r="M46" s="1367"/>
      <c r="N46" s="1367"/>
      <c r="O46" s="1367"/>
      <c r="P46" s="356"/>
      <c r="Q46" s="354"/>
      <c r="R46" s="355"/>
      <c r="S46" s="1226"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502"/>
      <c r="AP46" s="502" t="str">
        <f>IF(T46="","",T46)</f>
        <v>Источник тепловой энергии  </v>
      </c>
      <c r="AQ46" s="502"/>
      <c r="AR46" s="502"/>
      <c r="AS46" s="1157">
        <v>23</v>
      </c>
    </row>
    <row customHeight="1" ht="49.5">
      <c r="A47" s="1365" t="s">
        <v>153</v>
      </c>
      <c r="B47" s="1365" t="s">
        <v>154</v>
      </c>
      <c r="C47" s="1365" t="s">
        <v>155</v>
      </c>
      <c r="D47" s="1365" t="s">
        <v>156</v>
      </c>
      <c r="E47" s="2278"/>
      <c r="F47" s="2278"/>
      <c r="G47" s="2278"/>
      <c r="H47" s="2278"/>
      <c r="I47" s="2279" t="str">
        <f>S46&amp;".1"</f>
        <v>....1</v>
      </c>
      <c r="J47" s="1365"/>
      <c r="K47" s="1365"/>
      <c r="L47" s="1366" t="s">
        <v>398</v>
      </c>
      <c r="P47" s="2281">
        <v>1</v>
      </c>
      <c r="Q47" s="1222"/>
      <c r="R47" s="358"/>
      <c r="S47" s="1226" t="str">
        <f>$I47</f>
        <v>....1</v>
      </c>
      <c r="T47" s="287" t="s">
        <v>399</v>
      </c>
      <c r="U47" s="302"/>
      <c r="V47" s="2265"/>
      <c r="W47" s="2266"/>
      <c r="X47" s="2266"/>
      <c r="Y47" s="2266"/>
      <c r="Z47" s="2266"/>
      <c r="AA47" s="2266"/>
      <c r="AB47" s="2266"/>
      <c r="AC47" s="2267"/>
      <c r="AD47" s="2265"/>
      <c r="AE47" s="2266"/>
      <c r="AF47" s="2266"/>
      <c r="AG47" s="2266"/>
      <c r="AH47" s="2266"/>
      <c r="AI47" s="2266"/>
      <c r="AJ47" s="2266"/>
      <c r="AK47" s="2266"/>
      <c r="AL47" s="2267"/>
      <c r="AM47" s="1260" t="s">
        <v>400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153</v>
      </c>
      <c r="B48" s="1365" t="s">
        <v>154</v>
      </c>
      <c r="C48" s="1365" t="s">
        <v>155</v>
      </c>
      <c r="D48" s="1365" t="s">
        <v>156</v>
      </c>
      <c r="E48" s="2278"/>
      <c r="F48" s="2278"/>
      <c r="G48" s="2278"/>
      <c r="H48" s="2278"/>
      <c r="I48" s="2280"/>
      <c r="J48" s="2279" t="str">
        <f>I47&amp;".1"</f>
        <v>....1.1</v>
      </c>
      <c r="K48" s="1365"/>
      <c r="L48" s="1366" t="s">
        <v>401</v>
      </c>
      <c r="P48" s="2281"/>
      <c r="Q48" s="2281">
        <v>1</v>
      </c>
      <c r="R48" s="359"/>
      <c r="S48" s="1226" t="str">
        <f>$J48</f>
        <v>....1.1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502"/>
      <c r="AP48" s="502" t="str">
        <f>IF(T48="","",T48)</f>
        <v>Группа потребителей</v>
      </c>
      <c r="AQ48" s="502"/>
      <c r="AR48" s="502"/>
      <c r="AS48" s="1157">
        <v>23</v>
      </c>
    </row>
    <row customHeight="1" ht="24">
      <c r="A49" s="1365" t="s">
        <v>153</v>
      </c>
      <c r="B49" s="1365" t="s">
        <v>154</v>
      </c>
      <c r="C49" s="1365" t="s">
        <v>155</v>
      </c>
      <c r="D49" s="1365" t="s">
        <v>156</v>
      </c>
      <c r="E49" s="2278"/>
      <c r="F49" s="2278"/>
      <c r="G49" s="2278"/>
      <c r="H49" s="2278"/>
      <c r="I49" s="2280"/>
      <c r="J49" s="2280"/>
      <c r="K49" s="2279" t="str">
        <f>J48&amp;".1"</f>
        <v>....1.1.1</v>
      </c>
      <c r="L49" s="1366" t="s">
        <v>404</v>
      </c>
      <c r="P49" s="2281"/>
      <c r="Q49" s="2281"/>
      <c r="R49" s="359">
        <v>1</v>
      </c>
      <c r="S49" s="1226" t="str">
        <f>$K49</f>
        <v>....1.1.1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405</v>
      </c>
      <c r="AN49" s="513">
        <f>STRCHECKDATE(V50:AL50)</f>
      </c>
      <c r="AO49" s="502"/>
      <c r="AP49" s="502" t="str">
        <f>IF(T49="","",T49)</f>
        <v/>
      </c>
      <c r="AQ49" s="502"/>
      <c r="AR49" s="502"/>
      <c r="AS49" s="1157">
        <v>23</v>
      </c>
    </row>
    <row customHeight="1" ht="1.05">
      <c r="A50" s="1365" t="s">
        <v>153</v>
      </c>
      <c r="B50" s="1365" t="s">
        <v>154</v>
      </c>
      <c r="C50" s="1365" t="s">
        <v>155</v>
      </c>
      <c r="D50" s="1365" t="s">
        <v>156</v>
      </c>
      <c r="E50" s="2278"/>
      <c r="F50" s="2278"/>
      <c r="G50" s="2278"/>
      <c r="H50" s="2278"/>
      <c r="I50" s="2280"/>
      <c r="J50" s="2280"/>
      <c r="K50" s="2279"/>
      <c r="L50" s="1366"/>
      <c r="P50" s="2281"/>
      <c r="Q50" s="2281"/>
      <c r="R50" s="359"/>
      <c r="S50" s="1225"/>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502"/>
      <c r="AP50" s="502" t="str">
        <f>IF(T50="","",T50)</f>
        <v/>
      </c>
      <c r="AQ50" s="502"/>
      <c r="AR50" s="502"/>
      <c r="AS50" s="1157">
        <v>1</v>
      </c>
    </row>
    <row customHeight="1" ht="11.549999999999999">
      <c r="A51" s="1365" t="s">
        <v>153</v>
      </c>
      <c r="B51" s="1365" t="s">
        <v>154</v>
      </c>
      <c r="C51" s="1365" t="s">
        <v>155</v>
      </c>
      <c r="D51" s="1365" t="s">
        <v>156</v>
      </c>
      <c r="E51" s="2278"/>
      <c r="F51" s="2278"/>
      <c r="G51" s="2278"/>
      <c r="H51" s="2278"/>
      <c r="I51" s="2280"/>
      <c r="J51" s="2279"/>
      <c r="K51" s="1365"/>
      <c r="L51" s="1366"/>
      <c r="P51" s="2281"/>
      <c r="Q51" s="2281"/>
      <c r="R51" s="358"/>
      <c r="S51" s="1280"/>
      <c r="T51" s="290" t="s">
        <v>406</v>
      </c>
      <c r="U51" s="369"/>
      <c r="V51" s="369"/>
      <c r="W51" s="369"/>
      <c r="X51" s="369"/>
      <c r="Y51" s="369"/>
      <c r="Z51" s="369"/>
      <c r="AA51" s="369"/>
      <c r="AB51" s="369"/>
      <c r="AC51" s="369"/>
      <c r="AD51" s="369"/>
      <c r="AE51" s="369"/>
      <c r="AF51" s="369"/>
      <c r="AG51" s="369"/>
      <c r="AH51" s="369"/>
      <c r="AI51" s="369"/>
      <c r="AJ51" s="369"/>
      <c r="AK51" s="369"/>
      <c r="AL51" s="326"/>
      <c r="AM51" s="2309"/>
      <c r="AO51" s="502"/>
      <c r="AP51" s="502" t="str">
        <f>IF(T51="","",T51)</f>
        <v>Добавить вид теплоносителя (параметры теплоносителя)</v>
      </c>
      <c r="AQ51" s="502"/>
      <c r="AR51" s="502"/>
      <c r="AS51" s="1157">
        <v>11</v>
      </c>
    </row>
    <row customHeight="1" ht="11.549999999999999">
      <c r="A52" s="1365" t="s">
        <v>153</v>
      </c>
      <c r="B52" s="1365" t="s">
        <v>154</v>
      </c>
      <c r="C52" s="1365" t="s">
        <v>155</v>
      </c>
      <c r="D52" s="1365" t="s">
        <v>156</v>
      </c>
      <c r="E52" s="2278"/>
      <c r="F52" s="2278"/>
      <c r="G52" s="2278"/>
      <c r="H52" s="2278"/>
      <c r="I52" s="2279"/>
      <c r="J52" s="1365"/>
      <c r="K52" s="1365"/>
      <c r="L52" s="1366"/>
      <c r="P52" s="2281"/>
      <c r="Q52" s="1222"/>
      <c r="R52" s="358"/>
      <c r="S52" s="1280"/>
      <c r="T52" s="289" t="s">
        <v>407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153</v>
      </c>
      <c r="B53" s="1365" t="s">
        <v>154</v>
      </c>
      <c r="C53" s="1365" t="s">
        <v>155</v>
      </c>
      <c r="D53" s="1365" t="s">
        <v>156</v>
      </c>
      <c r="E53" s="2278"/>
      <c r="F53" s="2278"/>
      <c r="G53" s="2278"/>
      <c r="H53" s="2277"/>
      <c r="I53" s="1365"/>
      <c r="J53" s="1365"/>
      <c r="K53" s="1365"/>
      <c r="L53" s="1366"/>
      <c r="M53" s="1367"/>
      <c r="N53" s="1367"/>
      <c r="O53" s="539"/>
      <c r="P53" s="362"/>
      <c r="Q53" s="377"/>
      <c r="R53" s="357"/>
      <c r="S53" s="1280"/>
      <c r="T53" s="367" t="s">
        <v>408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153</v>
      </c>
      <c r="B54" s="1345" t="s">
        <v>154</v>
      </c>
      <c r="C54" s="1345" t="s">
        <v>155</v>
      </c>
      <c r="D54" s="1316"/>
      <c r="E54" s="2278"/>
      <c r="F54" s="2278"/>
      <c r="G54" s="2277"/>
      <c r="H54" s="1316"/>
      <c r="I54" s="1316"/>
      <c r="J54" s="1316"/>
      <c r="K54" s="1316"/>
      <c r="L54" s="1341"/>
      <c r="M54" s="1317"/>
      <c r="N54" s="131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153</v>
      </c>
      <c r="B55" s="1345" t="s">
        <v>154</v>
      </c>
      <c r="C55" s="1316"/>
      <c r="D55" s="1316"/>
      <c r="E55" s="2278"/>
      <c r="F55" s="2277"/>
      <c r="G55" s="1316"/>
      <c r="H55" s="1316"/>
      <c r="I55" s="1316"/>
      <c r="J55" s="1316"/>
      <c r="K55" s="1316"/>
      <c r="L55" s="1341"/>
      <c r="M55" s="1323"/>
      <c r="N55" s="132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153</v>
      </c>
      <c r="B56" s="1345"/>
      <c r="C56" s="1345"/>
      <c r="D56" s="1345"/>
      <c r="E56" s="2277"/>
      <c r="F56" s="1345"/>
      <c r="G56" s="1345"/>
      <c r="H56" s="1345"/>
      <c r="I56" s="1345"/>
      <c r="J56" s="1345"/>
      <c r="K56" s="1345"/>
      <c r="L56" s="1348"/>
      <c r="M56" s="1323"/>
      <c r="N56" s="1323"/>
      <c r="O56" s="520"/>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157">
        <v>27</v>
      </c>
    </row>
    <row customHeight="1" ht="67.2">
      <c r="O60" s="539"/>
      <c r="P60" s="1305"/>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157">
        <v>64</v>
      </c>
    </row>
    <row customHeight="1" ht="14.699999999999998">
      <c r="O61" s="539"/>
      <c r="AS61" s="1157">
        <v>14</v>
      </c>
    </row>
    <row customHeight="1" ht="18.75">
      <c r="O62" s="539"/>
      <c r="P62" s="1330"/>
      <c r="S62" s="1255"/>
      <c r="T62" s="2276"/>
      <c r="U62" s="2276"/>
      <c r="V62" s="2276"/>
      <c r="W62" s="2276"/>
      <c r="X62" s="2276"/>
      <c r="Y62" s="2276"/>
      <c r="Z62" s="2276"/>
      <c r="AA62" s="2276"/>
      <c r="AB62" s="2276"/>
      <c r="AC62" s="2276"/>
      <c r="AD62" s="2276"/>
      <c r="AE62" s="2276"/>
      <c r="AF62" s="2276"/>
      <c r="AG62" s="2276"/>
      <c r="AH62" s="2276"/>
      <c r="AI62" s="2276"/>
      <c r="AJ62" s="2276"/>
      <c r="AK62" s="2276"/>
      <c r="AL62" s="2276"/>
      <c r="AM62" s="2276"/>
      <c r="AS62" s="1157">
        <v>18</v>
      </c>
    </row>
    <row customHeight="1" ht="18.75">
      <c r="O63" s="539"/>
      <c r="P63" s="1330"/>
      <c r="T63" s="2276"/>
      <c r="U63" s="2276"/>
      <c r="V63" s="2276"/>
      <c r="W63" s="2276"/>
      <c r="X63" s="2276"/>
      <c r="Y63" s="2276"/>
      <c r="Z63" s="2276"/>
      <c r="AA63" s="2276"/>
      <c r="AB63" s="2276"/>
      <c r="AC63" s="2276"/>
      <c r="AD63" s="2276"/>
      <c r="AE63" s="2276"/>
      <c r="AF63" s="2276"/>
      <c r="AG63" s="2276"/>
      <c r="AH63" s="2276"/>
      <c r="AI63" s="2276"/>
      <c r="AJ63" s="2276"/>
      <c r="AK63" s="2276"/>
      <c r="AL63" s="2276"/>
      <c r="AM63" s="2276"/>
      <c r="AS63" s="1157">
        <v>18</v>
      </c>
    </row>
    <row customHeight="1" ht="29.25">
      <c r="O64" s="539"/>
      <c r="P64" s="1330"/>
      <c r="S64" s="1255"/>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3DFFC8-58F7-CAC8-8275-5FC7410C5B5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77">
        <v>1</v>
      </c>
      <c r="F2" s="1365"/>
      <c r="G2" s="1365"/>
      <c r="H2" s="1365"/>
      <c r="I2" s="1365"/>
      <c r="J2" s="1365"/>
      <c r="K2" s="1365"/>
      <c r="L2" s="1366"/>
      <c r="M2" s="1367"/>
      <c r="N2" s="1367"/>
      <c r="O2" s="1367"/>
      <c r="P2" s="363"/>
      <c r="Q2" s="362"/>
      <c r="R2" s="357"/>
      <c r="S2" s="1338">
        <f>INDEX(PT_DIFFERENTIATION_NUM_NTAR,MATCH(A2,PT_DIFFERENTIATION_NTAR_ID,0))</f>
      </c>
      <c r="T2" s="300"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502"/>
      <c r="AP2" s="502" t="str">
        <f>IF(T2="","",T2)</f>
        <v>Наименование тарифа</v>
      </c>
      <c r="AQ2" s="502"/>
      <c r="AR2" s="502"/>
      <c r="AS2" s="1157">
        <v>0</v>
      </c>
    </row>
    <row customHeight="1" ht="21" hidden="1">
      <c r="A3" s="1365"/>
      <c r="B3" s="1365"/>
      <c r="C3" s="1365"/>
      <c r="D3" s="1365"/>
      <c r="E3" s="2278"/>
      <c r="F3" s="2277">
        <v>1</v>
      </c>
      <c r="G3" s="1365"/>
      <c r="H3" s="1365"/>
      <c r="I3" s="1365"/>
      <c r="J3" s="1365"/>
      <c r="K3" s="1365"/>
      <c r="L3" s="1366"/>
      <c r="M3" s="1367"/>
      <c r="N3" s="1367"/>
      <c r="O3" s="1367"/>
      <c r="P3" s="1334"/>
      <c r="Q3" s="354"/>
      <c r="R3" s="355"/>
      <c r="S3" s="1338">
        <f>INDEX(PT_DIFFERENTIATION_NUM_TER,MATCH(B3,PT_DIFFERENTIATION_TER_ID,0))</f>
      </c>
      <c r="T3" s="310"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502"/>
      <c r="AP3" s="502" t="str">
        <f>IF(T3="","",T3)</f>
        <v>Территория действия тарифа</v>
      </c>
      <c r="AQ3" s="502"/>
      <c r="AR3" s="502"/>
      <c r="AS3" s="1157">
        <v>0</v>
      </c>
    </row>
    <row customHeight="1" ht="23.25" hidden="1">
      <c r="A4" s="1365"/>
      <c r="B4" s="1365"/>
      <c r="C4" s="1365"/>
      <c r="D4" s="1365"/>
      <c r="E4" s="2278"/>
      <c r="F4" s="2278"/>
      <c r="G4" s="2277">
        <v>1</v>
      </c>
      <c r="H4" s="1365"/>
      <c r="I4" s="1365"/>
      <c r="J4" s="1365"/>
      <c r="K4" s="1365"/>
      <c r="L4" s="1366"/>
      <c r="M4" s="1367"/>
      <c r="N4" s="1367"/>
      <c r="O4" s="1367"/>
      <c r="P4" s="356"/>
      <c r="Q4" s="354"/>
      <c r="R4" s="355"/>
      <c r="S4" s="1338">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502"/>
      <c r="AP4" s="502" t="str">
        <f>IF(T4="","",T4)</f>
        <v>Наименование системы теплоснабжения </v>
      </c>
      <c r="AQ4" s="502"/>
      <c r="AR4" s="502"/>
      <c r="AS4" s="1157">
        <v>0</v>
      </c>
    </row>
    <row customHeight="1" ht="21" hidden="1">
      <c r="A5" s="1365"/>
      <c r="B5" s="1365"/>
      <c r="C5" s="1365"/>
      <c r="D5" s="1365"/>
      <c r="E5" s="2278"/>
      <c r="F5" s="2278"/>
      <c r="G5" s="2278"/>
      <c r="H5" s="2277">
        <v>1</v>
      </c>
      <c r="I5" s="1365"/>
      <c r="J5" s="1365"/>
      <c r="K5" s="1365"/>
      <c r="L5" s="1366"/>
      <c r="M5" s="1367"/>
      <c r="N5" s="1367"/>
      <c r="O5" s="1367"/>
      <c r="P5" s="356"/>
      <c r="Q5" s="354"/>
      <c r="R5" s="355"/>
      <c r="S5" s="1338">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502"/>
      <c r="AP5" s="502" t="str">
        <f>IF(T5="","",T5)</f>
        <v>Источник тепловой энергии  </v>
      </c>
      <c r="AQ5" s="502"/>
      <c r="AR5" s="502"/>
      <c r="AS5" s="1157">
        <v>0</v>
      </c>
    </row>
    <row customHeight="1" ht="47.25" hidden="1">
      <c r="A6" s="1365"/>
      <c r="B6" s="1365"/>
      <c r="C6" s="1365"/>
      <c r="D6" s="1365"/>
      <c r="E6" s="2278"/>
      <c r="F6" s="2278"/>
      <c r="G6" s="2278"/>
      <c r="H6" s="2278"/>
      <c r="I6" s="2279">
        <f>S5&amp;".1"</f>
      </c>
      <c r="J6" s="1365"/>
      <c r="K6" s="1365"/>
      <c r="L6" s="1366" t="s">
        <v>398</v>
      </c>
      <c r="M6" s="539"/>
      <c r="P6" s="2281">
        <v>1</v>
      </c>
      <c r="Q6" s="1333"/>
      <c r="R6" s="358"/>
      <c r="S6" s="1338">
        <f>$I6</f>
      </c>
      <c r="T6" s="287" t="s">
        <v>399</v>
      </c>
      <c r="U6" s="302"/>
      <c r="V6" s="2265"/>
      <c r="W6" s="2266"/>
      <c r="X6" s="2266"/>
      <c r="Y6" s="2266"/>
      <c r="Z6" s="2266"/>
      <c r="AA6" s="2266"/>
      <c r="AB6" s="2266"/>
      <c r="AC6" s="2267"/>
      <c r="AD6" s="2265"/>
      <c r="AE6" s="2266"/>
      <c r="AF6" s="2266"/>
      <c r="AG6" s="2266"/>
      <c r="AH6" s="2266"/>
      <c r="AI6" s="2266"/>
      <c r="AJ6" s="2266"/>
      <c r="AK6" s="2266"/>
      <c r="AL6" s="2267"/>
      <c r="AM6" s="1260" t="s">
        <v>400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78"/>
      <c r="F7" s="2278"/>
      <c r="G7" s="2278"/>
      <c r="H7" s="2278"/>
      <c r="I7" s="2280"/>
      <c r="J7" s="2279">
        <f>I6&amp;".1"</f>
      </c>
      <c r="K7" s="1365"/>
      <c r="L7" s="1366" t="s">
        <v>401</v>
      </c>
      <c r="M7" s="539"/>
      <c r="N7" s="1368"/>
      <c r="P7" s="2281"/>
      <c r="Q7" s="2281">
        <v>1</v>
      </c>
      <c r="R7" s="359"/>
      <c r="S7" s="1338">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502"/>
      <c r="AP7" s="502" t="str">
        <f>IF(T7="","",T7)</f>
        <v>Группа потребителей</v>
      </c>
      <c r="AQ7" s="502"/>
      <c r="AR7" s="502"/>
      <c r="AS7" s="1157">
        <v>0</v>
      </c>
    </row>
    <row customHeight="1" ht="21" hidden="1">
      <c r="A8" s="1365"/>
      <c r="B8" s="1365"/>
      <c r="C8" s="1365"/>
      <c r="D8" s="1365"/>
      <c r="E8" s="2278"/>
      <c r="F8" s="2278"/>
      <c r="G8" s="2278"/>
      <c r="H8" s="2278"/>
      <c r="I8" s="2280"/>
      <c r="J8" s="2280"/>
      <c r="K8" s="2279">
        <f>J7&amp;".1"</f>
      </c>
      <c r="L8" s="1366" t="s">
        <v>404</v>
      </c>
      <c r="M8" s="539"/>
      <c r="N8" s="1368"/>
      <c r="O8" s="1368"/>
      <c r="P8" s="2281"/>
      <c r="Q8" s="2281"/>
      <c r="R8" s="359">
        <v>1</v>
      </c>
      <c r="S8" s="1338">
        <f>$K8</f>
      </c>
      <c r="T8" s="1349"/>
      <c r="U8" s="302"/>
      <c r="V8" s="753"/>
      <c r="W8" s="327"/>
      <c r="X8" s="753"/>
      <c r="Y8" s="1259"/>
      <c r="Z8" s="2282"/>
      <c r="AA8" s="2150" t="s">
        <v>65</v>
      </c>
      <c r="AB8" s="2282"/>
      <c r="AC8" s="2150" t="s">
        <v>65</v>
      </c>
      <c r="AD8" s="753"/>
      <c r="AE8" s="327"/>
      <c r="AF8" s="753"/>
      <c r="AG8" s="1259"/>
      <c r="AH8" s="2282"/>
      <c r="AI8" s="2150" t="s">
        <v>65</v>
      </c>
      <c r="AJ8" s="2282"/>
      <c r="AK8" s="2150" t="s">
        <v>65</v>
      </c>
      <c r="AL8" s="327"/>
      <c r="AM8" s="2307" t="s">
        <v>405</v>
      </c>
      <c r="AN8" s="513">
        <f>STRCHECKDATE(V9:AL9)</f>
      </c>
      <c r="AO8" s="502"/>
      <c r="AP8" s="502" t="str">
        <f>IF(T8="","",T8)</f>
        <v/>
      </c>
      <c r="AQ8" s="502"/>
      <c r="AR8" s="502"/>
      <c r="AS8" s="1157">
        <v>0</v>
      </c>
    </row>
    <row customHeight="1" ht="0.75" hidden="1">
      <c r="A9" s="1365"/>
      <c r="B9" s="1365"/>
      <c r="C9" s="1365"/>
      <c r="D9" s="1365"/>
      <c r="E9" s="2278"/>
      <c r="F9" s="2278"/>
      <c r="G9" s="2278"/>
      <c r="H9" s="2278"/>
      <c r="I9" s="2280"/>
      <c r="J9" s="2280"/>
      <c r="K9" s="2279"/>
      <c r="L9" s="1366"/>
      <c r="M9" s="539"/>
      <c r="N9" s="1368"/>
      <c r="O9" s="1368"/>
      <c r="P9" s="2281"/>
      <c r="Q9" s="2281"/>
      <c r="R9" s="359"/>
      <c r="S9" s="1344"/>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502"/>
      <c r="AP9" s="502" t="str">
        <f>IF(T9="","",T9)</f>
        <v/>
      </c>
      <c r="AQ9" s="502"/>
      <c r="AR9" s="502"/>
      <c r="AS9" s="1157">
        <v>0</v>
      </c>
    </row>
    <row customHeight="1" ht="15" hidden="1">
      <c r="A10" s="1365"/>
      <c r="B10" s="1365"/>
      <c r="C10" s="1365"/>
      <c r="D10" s="1365"/>
      <c r="E10" s="2278"/>
      <c r="F10" s="2278"/>
      <c r="G10" s="2278"/>
      <c r="H10" s="2278"/>
      <c r="I10" s="2280"/>
      <c r="J10" s="2279"/>
      <c r="K10" s="1365"/>
      <c r="L10" s="1366"/>
      <c r="M10" s="539"/>
      <c r="N10" s="1368"/>
      <c r="P10" s="2281"/>
      <c r="Q10" s="2281"/>
      <c r="R10" s="358"/>
      <c r="S10" s="1280"/>
      <c r="T10" s="290" t="s">
        <v>406</v>
      </c>
      <c r="U10" s="369"/>
      <c r="V10" s="369"/>
      <c r="W10" s="369"/>
      <c r="X10" s="369"/>
      <c r="Y10" s="369"/>
      <c r="Z10" s="369"/>
      <c r="AA10" s="369"/>
      <c r="AB10" s="369"/>
      <c r="AC10" s="369"/>
      <c r="AD10" s="369"/>
      <c r="AE10" s="369"/>
      <c r="AF10" s="369"/>
      <c r="AG10" s="369"/>
      <c r="AH10" s="369"/>
      <c r="AI10" s="369"/>
      <c r="AJ10" s="369"/>
      <c r="AK10" s="369"/>
      <c r="AL10" s="326"/>
      <c r="AM10" s="2309"/>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78"/>
      <c r="F11" s="2278"/>
      <c r="G11" s="2278"/>
      <c r="H11" s="2278"/>
      <c r="I11" s="2279"/>
      <c r="J11" s="1365"/>
      <c r="K11" s="1365"/>
      <c r="L11" s="1366"/>
      <c r="M11" s="539"/>
      <c r="P11" s="2281"/>
      <c r="Q11" s="1333"/>
      <c r="R11" s="358"/>
      <c r="S11" s="1280"/>
      <c r="T11" s="289" t="s">
        <v>407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78"/>
      <c r="F12" s="2278"/>
      <c r="G12" s="2278"/>
      <c r="H12" s="2277"/>
      <c r="I12" s="1365"/>
      <c r="J12" s="1365"/>
      <c r="K12" s="1365"/>
      <c r="L12" s="1366"/>
      <c r="M12" s="1367"/>
      <c r="N12" s="1367"/>
      <c r="O12" s="539"/>
      <c r="P12" s="362"/>
      <c r="Q12" s="377"/>
      <c r="R12" s="357"/>
      <c r="S12" s="1280"/>
      <c r="T12" s="367" t="s">
        <v>408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78"/>
      <c r="F13" s="2278"/>
      <c r="G13" s="2277"/>
      <c r="H13" s="1316"/>
      <c r="I13" s="1316"/>
      <c r="J13" s="1316"/>
      <c r="K13" s="1316"/>
      <c r="L13" s="1341"/>
      <c r="M13" s="1317"/>
      <c r="N13" s="131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78"/>
      <c r="F14" s="2277"/>
      <c r="G14" s="1316"/>
      <c r="H14" s="1316"/>
      <c r="I14" s="1316"/>
      <c r="J14" s="1316"/>
      <c r="K14" s="1316"/>
      <c r="L14" s="1341"/>
      <c r="M14" s="1323"/>
      <c r="N14" s="132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77"/>
      <c r="F15" s="1316"/>
      <c r="G15" s="1316"/>
      <c r="H15" s="1316"/>
      <c r="I15" s="1316"/>
      <c r="J15" s="1316"/>
      <c r="K15" s="1316"/>
      <c r="L15" s="1341"/>
      <c r="M15" s="1323"/>
      <c r="N15" s="132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75"/>
      <c r="AI17" s="2274" t="s">
        <v>65</v>
      </c>
      <c r="AJ17" s="2275"/>
      <c r="AK17" s="2274" t="s">
        <v>65</v>
      </c>
      <c r="AS17" s="1157">
        <v>0</v>
      </c>
    </row>
    <row customHeight="1" ht="14.25" hidden="1">
      <c r="AD18" s="1362"/>
      <c r="AE18" s="1362"/>
      <c r="AF18" s="1362"/>
      <c r="AG18" s="330" t="str">
        <f>AH17&amp;"-"&amp;AJ17</f>
        <v>-</v>
      </c>
      <c r="AH18" s="2274"/>
      <c r="AI18" s="2274"/>
      <c r="AJ18" s="2274"/>
      <c r="AK18" s="2274"/>
      <c r="AS18" s="1157">
        <v>0</v>
      </c>
    </row>
    <row customHeight="1" ht="14.25" hidden="1">
      <c r="AK19" s="329"/>
      <c r="AS19" s="1157">
        <v>0</v>
      </c>
    </row>
    <row s="1368" customFormat="1" customHeight="1" ht="22.5" hidden="1">
      <c r="L20" s="1331"/>
      <c r="M20" s="1364"/>
      <c r="N20" s="1364"/>
      <c r="O20" s="1369" t="s">
        <v>412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413</v>
      </c>
      <c r="P22" s="1364"/>
      <c r="Q22" s="1373"/>
      <c r="R22" s="1373"/>
      <c r="S22" s="731"/>
      <c r="T22" s="1162" t="s">
        <v>414</v>
      </c>
      <c r="AA22" s="188" t="s">
        <v>415</v>
      </c>
      <c r="AC22" s="188" t="s">
        <v>416</v>
      </c>
      <c r="AD22" s="1162" t="s">
        <v>414</v>
      </c>
      <c r="AI22" s="188" t="s">
        <v>417</v>
      </c>
      <c r="AK22" s="188" t="s">
        <v>416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3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0"/>
      <c r="U26" s="2310"/>
      <c r="V26" s="2310"/>
      <c r="W26" s="2310"/>
      <c r="X26" s="2310"/>
      <c r="Y26" s="2310"/>
      <c r="Z26" s="2310"/>
      <c r="AA26" s="2310"/>
      <c r="AB26" s="2310"/>
      <c r="AC26" s="2310"/>
      <c r="AD26" s="2310"/>
      <c r="AE26" s="2310"/>
      <c r="AF26" s="2310"/>
      <c r="AG26" s="2310"/>
      <c r="AH26" s="2310"/>
      <c r="AI26" s="2310"/>
      <c r="AJ26" s="2310"/>
      <c r="AK26" s="1245"/>
      <c r="AS26" s="1157">
        <v>14</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2" customFormat="1" customHeight="1" ht="25.5" hidden="1">
      <c r="A29" s="1370"/>
      <c r="B29" s="1370"/>
      <c r="C29" s="1370"/>
      <c r="D29" s="1370"/>
      <c r="E29" s="1370"/>
      <c r="F29" s="1370"/>
      <c r="G29" s="1370"/>
      <c r="H29" s="1370"/>
      <c r="I29" s="1370"/>
      <c r="J29" s="1370"/>
      <c r="K29" s="1370"/>
      <c r="L29" s="1371"/>
      <c r="M29" s="1370"/>
      <c r="N29" s="1370"/>
      <c r="O29" s="137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328"/>
      <c r="AD29" s="2270" t="str">
        <f>IF(TITLE_NAME_OR_PR_CHANGE="",IF(TITLE_NAME_OR_PR="","",TITLE_NAME_OR_PR),TITLE_NAME_OR_PR_CHANGE)</f>
        <v/>
      </c>
      <c r="AE29" s="2270"/>
      <c r="AF29" s="2270"/>
      <c r="AG29" s="2270"/>
      <c r="AH29" s="2270"/>
      <c r="AI29" s="2270"/>
      <c r="AJ29" s="2270"/>
      <c r="AK29" s="328"/>
      <c r="AL29" s="328"/>
      <c r="AM29" s="282"/>
      <c r="AN29" s="370"/>
      <c r="AO29" s="370"/>
      <c r="AP29" s="370"/>
      <c r="AQ29" s="370"/>
      <c r="AR29" s="370"/>
      <c r="AS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328"/>
      <c r="AD30" s="2269" t="str">
        <f>IF(TITLE_DATE_PR_CHANGE="",IF(TITLE_DATE_PR="","",TITLE_DATE_PR),TITLE_DATE_PR_CHANGE)</f>
        <v/>
      </c>
      <c r="AE30" s="2269"/>
      <c r="AF30" s="2269"/>
      <c r="AG30" s="2269"/>
      <c r="AH30" s="2269"/>
      <c r="AI30" s="2269"/>
      <c r="AJ30" s="2269"/>
      <c r="AK30" s="328"/>
      <c r="AL30" s="328"/>
      <c r="AM30" s="282"/>
      <c r="AN30" s="370"/>
      <c r="AO30" s="370"/>
      <c r="AP30" s="370"/>
      <c r="AQ30" s="370"/>
      <c r="AR30" s="370"/>
      <c r="AS30" s="420">
        <v>0</v>
      </c>
    </row>
    <row s="1852" customFormat="1" customHeight="1" ht="18.75" hidden="1">
      <c r="A31" s="1370"/>
      <c r="B31" s="1370"/>
      <c r="C31" s="1370"/>
      <c r="D31" s="1370"/>
      <c r="E31" s="1370"/>
      <c r="F31" s="1370"/>
      <c r="G31" s="1370"/>
      <c r="H31" s="1370"/>
      <c r="I31" s="1370"/>
      <c r="J31" s="1370"/>
      <c r="K31" s="1370"/>
      <c r="L31" s="1371"/>
      <c r="M31" s="1370"/>
      <c r="N31" s="1370"/>
      <c r="O31" s="137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328"/>
      <c r="AD31" s="2270" t="str">
        <f>IF(TITLE_NUMBER_PR_CHANGE="",IF(TITLE_NUMBER_PR="","",TITLE_NUMBER_PR),TITLE_NUMBER_PR_CHANGE)</f>
        <v/>
      </c>
      <c r="AE31" s="2270"/>
      <c r="AF31" s="2270"/>
      <c r="AG31" s="2270"/>
      <c r="AH31" s="2270"/>
      <c r="AI31" s="2270"/>
      <c r="AJ31" s="2270"/>
      <c r="AK31" s="328"/>
      <c r="AL31" s="328"/>
      <c r="AM31" s="282"/>
      <c r="AN31" s="370"/>
      <c r="AO31" s="370"/>
      <c r="AP31" s="370"/>
      <c r="AQ31" s="370"/>
      <c r="AR31" s="370"/>
      <c r="AS31" s="420">
        <v>0</v>
      </c>
    </row>
    <row s="1852" customFormat="1" customHeight="1" ht="18.75" hidden="1">
      <c r="A32" s="1370"/>
      <c r="B32" s="1370"/>
      <c r="C32" s="1370"/>
      <c r="D32" s="1370"/>
      <c r="E32" s="1370"/>
      <c r="F32" s="1370"/>
      <c r="G32" s="1370"/>
      <c r="H32" s="1370"/>
      <c r="I32" s="1370"/>
      <c r="J32" s="1370"/>
      <c r="K32" s="1370"/>
      <c r="L32" s="1371"/>
      <c r="M32" s="1370"/>
      <c r="N32" s="1370"/>
      <c r="O32" s="1370"/>
      <c r="S32" s="2268" t="s">
        <v>43</v>
      </c>
      <c r="T32" s="2268"/>
      <c r="U32" s="1374"/>
      <c r="V32" s="2270" t="str">
        <f>IF(TITLE_IST_PUB_CHANGE="",IF(TITLE_IST_PUB="","",TITLE_IST_PUB),TITLE_IST_PUB_CHANGE)</f>
        <v/>
      </c>
      <c r="W32" s="2270"/>
      <c r="X32" s="2270"/>
      <c r="Y32" s="2270"/>
      <c r="Z32" s="2270"/>
      <c r="AA32" s="2270"/>
      <c r="AB32" s="2270"/>
      <c r="AC32" s="328"/>
      <c r="AD32" s="2270" t="str">
        <f>IF(TITLE_IST_PUB_CHANGE="",IF(TITLE_IST_PUB="","",TITLE_IST_PUB),TITLE_IST_PUB_CHANGE)</f>
        <v/>
      </c>
      <c r="AE32" s="2270"/>
      <c r="AF32" s="2270"/>
      <c r="AG32" s="2270"/>
      <c r="AH32" s="2270"/>
      <c r="AI32" s="2270"/>
      <c r="AJ32" s="2270"/>
      <c r="AK32" s="328"/>
      <c r="AL32" s="328"/>
      <c r="AM32" s="282"/>
      <c r="AN32" s="370"/>
      <c r="AO32" s="370"/>
      <c r="AP32" s="370"/>
      <c r="AQ32" s="370"/>
      <c r="AR32" s="370"/>
      <c r="AS32" s="420">
        <v>0</v>
      </c>
    </row>
    <row customHeight="1" ht="14.25" hidden="1">
      <c r="Q33" s="378"/>
      <c r="R33" s="378"/>
      <c r="S33" s="1277"/>
      <c r="T33" s="459"/>
      <c r="U33" s="365"/>
      <c r="V33" s="324"/>
      <c r="W33" s="324"/>
      <c r="X33" s="324"/>
      <c r="Y33" s="324"/>
      <c r="Z33" s="324"/>
      <c r="AA33" s="324"/>
      <c r="AB33" s="324"/>
      <c r="AC33" s="324"/>
      <c r="AD33" s="324"/>
      <c r="AE33" s="324"/>
      <c r="AF33" s="324"/>
      <c r="AG33" s="324"/>
      <c r="AH33" s="324"/>
      <c r="AI33" s="324"/>
      <c r="AJ33" s="324"/>
      <c r="AK33" s="324"/>
      <c r="AL33" s="511"/>
      <c r="AS33" s="1157">
        <v>0</v>
      </c>
    </row>
    <row s="1852" customFormat="1" customHeight="1" ht="18.75" hidden="1">
      <c r="A34" s="1370"/>
      <c r="B34" s="1370"/>
      <c r="C34" s="1370"/>
      <c r="D34" s="1370"/>
      <c r="E34" s="1370"/>
      <c r="F34" s="1370"/>
      <c r="G34" s="1370"/>
      <c r="H34" s="1370"/>
      <c r="I34" s="1370"/>
      <c r="J34" s="1370"/>
      <c r="K34" s="1370"/>
      <c r="L34" s="1371"/>
      <c r="M34" s="1370"/>
      <c r="N34" s="1370"/>
      <c r="O34" s="137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328"/>
      <c r="AD34" s="2269" t="str">
        <f>IF(TITLE_DATE_PR_CHANGE="",IF(TITLE_DATE_PR="","",TITLE_DATE_PR),TITLE_DATE_PR_CHANGE)</f>
        <v/>
      </c>
      <c r="AE34" s="2269"/>
      <c r="AF34" s="2269"/>
      <c r="AG34" s="2269"/>
      <c r="AH34" s="2269"/>
      <c r="AI34" s="2269"/>
      <c r="AJ34" s="2269"/>
      <c r="AK34" s="328"/>
      <c r="AL34" s="328"/>
      <c r="AM34" s="282"/>
      <c r="AN34" s="370"/>
      <c r="AO34" s="370"/>
      <c r="AP34" s="370"/>
      <c r="AQ34" s="370"/>
      <c r="AR34" s="370"/>
      <c r="AS34" s="420">
        <v>0</v>
      </c>
    </row>
    <row s="1852" customFormat="1" customHeight="1" ht="18.75" hidden="1">
      <c r="A35" s="1370"/>
      <c r="B35" s="1370"/>
      <c r="C35" s="1370"/>
      <c r="D35" s="1370"/>
      <c r="E35" s="1370"/>
      <c r="F35" s="1370"/>
      <c r="G35" s="1370"/>
      <c r="H35" s="1370"/>
      <c r="I35" s="1370"/>
      <c r="J35" s="1370"/>
      <c r="K35" s="1370"/>
      <c r="L35" s="1371"/>
      <c r="M35" s="1370"/>
      <c r="N35" s="1370"/>
      <c r="O35" s="137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328"/>
      <c r="AD35" s="2270" t="str">
        <f>IF(TITLE_NUMBER_PR_CHANGE="",IF(TITLE_NUMBER_PR="","",TITLE_NUMBER_PR),TITLE_NUMBER_PR_CHANGE)</f>
        <v/>
      </c>
      <c r="AE35" s="2270"/>
      <c r="AF35" s="2270"/>
      <c r="AG35" s="2270"/>
      <c r="AH35" s="2270"/>
      <c r="AI35" s="2270"/>
      <c r="AJ35" s="2270"/>
      <c r="AK35" s="328"/>
      <c r="AL35" s="328"/>
      <c r="AM35" s="282"/>
      <c r="AN35" s="370"/>
      <c r="AO35" s="370"/>
      <c r="AP35" s="370"/>
      <c r="AQ35" s="370"/>
      <c r="AR35" s="370"/>
      <c r="AS35" s="420">
        <v>0</v>
      </c>
    </row>
    <row s="1852"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418</v>
      </c>
      <c r="AD36" s="328"/>
      <c r="AE36" s="328"/>
      <c r="AF36" s="328"/>
      <c r="AG36" s="328"/>
      <c r="AH36" s="328"/>
      <c r="AI36" s="328"/>
      <c r="AJ36" s="328"/>
      <c r="AK36" s="280" t="s">
        <v>418</v>
      </c>
      <c r="AN36" s="370"/>
      <c r="AO36" s="370"/>
      <c r="AP36" s="370"/>
      <c r="AQ36" s="370"/>
      <c r="AR36" s="370"/>
      <c r="AS36" s="420">
        <v>0</v>
      </c>
    </row>
    <row customHeight="1" ht="14.699999999999998">
      <c r="Q37" s="378"/>
      <c r="R37" s="378"/>
      <c r="S37" s="1277"/>
      <c r="T37" s="365"/>
      <c r="U37" s="1246"/>
      <c r="V37" s="2294"/>
      <c r="W37" s="2294"/>
      <c r="X37" s="2294"/>
      <c r="Y37" s="2294"/>
      <c r="Z37" s="2294"/>
      <c r="AA37" s="2294"/>
      <c r="AB37" s="2294"/>
      <c r="AC37" s="2294"/>
      <c r="AD37" s="2294"/>
      <c r="AE37" s="2294"/>
      <c r="AF37" s="2294"/>
      <c r="AG37" s="2294"/>
      <c r="AH37" s="2294"/>
      <c r="AI37" s="2294"/>
      <c r="AJ37" s="2294"/>
      <c r="AK37" s="2294"/>
      <c r="AS37" s="1157">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157">
        <v>14</v>
      </c>
    </row>
    <row customHeight="1" ht="14.699999999999998">
      <c r="Q39" s="378"/>
      <c r="R39" s="378"/>
      <c r="S39" s="2295" t="s">
        <v>88</v>
      </c>
      <c r="T39" s="2232" t="s">
        <v>419</v>
      </c>
      <c r="U39" s="303"/>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157">
        <v>14</v>
      </c>
    </row>
    <row customHeight="1" ht="35.699999999999996">
      <c r="Q40" s="378"/>
      <c r="R40" s="378"/>
      <c r="S40" s="2295"/>
      <c r="T40" s="2232"/>
      <c r="U40" s="1033"/>
      <c r="V40" s="2305" t="s">
        <v>424</v>
      </c>
      <c r="W40" s="2286" t="s">
        <v>425</v>
      </c>
      <c r="X40" s="2288" t="s">
        <v>426</v>
      </c>
      <c r="Y40" s="2290"/>
      <c r="Z40" s="2288" t="s">
        <v>440</v>
      </c>
      <c r="AA40" s="2289"/>
      <c r="AB40" s="2290"/>
      <c r="AC40" s="2300"/>
      <c r="AD40" s="2305" t="s">
        <v>424</v>
      </c>
      <c r="AE40" s="2286" t="s">
        <v>425</v>
      </c>
      <c r="AF40" s="2288" t="s">
        <v>426</v>
      </c>
      <c r="AG40" s="2290"/>
      <c r="AH40" s="2288" t="s">
        <v>427</v>
      </c>
      <c r="AI40" s="2289"/>
      <c r="AJ40" s="2290"/>
      <c r="AK40" s="2300"/>
      <c r="AL40" s="2303"/>
      <c r="AM40" s="2140"/>
      <c r="AS40" s="1157">
        <v>34</v>
      </c>
    </row>
    <row customHeight="1" ht="35.699999999999996">
      <c r="A41" s="1372"/>
      <c r="B41" s="1372" t="s">
        <v>132</v>
      </c>
      <c r="C41" s="1372" t="s">
        <v>133</v>
      </c>
      <c r="D41" s="1372" t="s">
        <v>134</v>
      </c>
      <c r="E41" s="1366" t="s">
        <v>428</v>
      </c>
      <c r="F41" s="1366" t="s">
        <v>429</v>
      </c>
      <c r="G41" s="1366" t="s">
        <v>430</v>
      </c>
      <c r="H41" s="1366" t="s">
        <v>431</v>
      </c>
      <c r="I41" s="1366" t="s">
        <v>432</v>
      </c>
      <c r="J41" s="1366" t="s">
        <v>433</v>
      </c>
      <c r="K41" s="1366" t="s">
        <v>434</v>
      </c>
      <c r="L41" s="1366" t="s">
        <v>413</v>
      </c>
      <c r="Q41" s="378"/>
      <c r="R41" s="378"/>
      <c r="S41" s="2295"/>
      <c r="T41" s="2232"/>
      <c r="U41" s="304"/>
      <c r="V41" s="2306"/>
      <c r="W41" s="2287"/>
      <c r="X41" s="1224" t="s">
        <v>435</v>
      </c>
      <c r="Y41" s="1224" t="s">
        <v>436</v>
      </c>
      <c r="Z41" s="1340" t="s">
        <v>437</v>
      </c>
      <c r="AA41" s="2291" t="s">
        <v>438</v>
      </c>
      <c r="AB41" s="2292"/>
      <c r="AC41" s="2301"/>
      <c r="AD41" s="2306"/>
      <c r="AE41" s="2287"/>
      <c r="AF41" s="1224" t="s">
        <v>435</v>
      </c>
      <c r="AG41" s="1224" t="s">
        <v>436</v>
      </c>
      <c r="AH41" s="1340" t="s">
        <v>437</v>
      </c>
      <c r="AI41" s="2291" t="s">
        <v>438</v>
      </c>
      <c r="AJ41" s="2292"/>
      <c r="AK41" s="2301"/>
      <c r="AL41" s="2304"/>
      <c r="AM41" s="2140"/>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106</v>
      </c>
      <c r="T42" s="1257" t="s">
        <v>107</v>
      </c>
      <c r="U42" s="1247" t="str">
        <f>OFFSET(U42,0,-1)</f>
        <v>2</v>
      </c>
      <c r="V42" s="1337">
        <f>OFFSET(V42,0,-1)+1</f>
        <v>3</v>
      </c>
      <c r="W42" s="1337"/>
      <c r="X42" s="1337">
        <f>OFFSET(X42,0,-1)+1</f>
        <v>1</v>
      </c>
      <c r="Y42" s="1337">
        <f>OFFSET(Y42,0,-1)+1</f>
        <v>2</v>
      </c>
      <c r="Z42" s="1337">
        <f>OFFSET(Z42,0,-1)+1</f>
        <v>3</v>
      </c>
      <c r="AA42" s="2293">
        <f>OFFSET(AA42,0,-1)+1</f>
        <v>4</v>
      </c>
      <c r="AB42" s="2293"/>
      <c r="AC42" s="1337">
        <f>OFFSET(AC42,0,-2)+1</f>
        <v>5</v>
      </c>
      <c r="AD42" s="1337">
        <f>OFFSET(AD42,0,-1)+1</f>
        <v>6</v>
      </c>
      <c r="AE42" s="1337"/>
      <c r="AF42" s="1337">
        <f>OFFSET(AF42,0,-1)+1</f>
        <v>1</v>
      </c>
      <c r="AG42" s="1337">
        <f>OFFSET(AG42,0,-1)+1</f>
        <v>2</v>
      </c>
      <c r="AH42" s="1337">
        <f>OFFSET(AH42,0,-1)+1</f>
        <v>3</v>
      </c>
      <c r="AI42" s="2293">
        <f>OFFSET(AI42,0,-1)+1</f>
        <v>4</v>
      </c>
      <c r="AJ42" s="2293"/>
      <c r="AK42" s="1337">
        <f>OFFSET(AK42,0,-2)+1</f>
        <v>5</v>
      </c>
      <c r="AL42" s="1247">
        <f>OFFSET(AL42,0,-1)</f>
        <v>5</v>
      </c>
      <c r="AM42" s="1337">
        <f>OFFSET(AM42,0,-1)+1</f>
        <v>6</v>
      </c>
      <c r="AN42" s="513"/>
      <c r="AO42" s="513"/>
      <c r="AP42" s="513"/>
      <c r="AQ42" s="513"/>
      <c r="AR42" s="513"/>
      <c r="AS42" s="498">
        <v>0</v>
      </c>
    </row>
    <row customHeight="1" ht="22.049999999999997">
      <c r="A43" s="1365" t="s">
        <v>158</v>
      </c>
      <c r="B43" s="1365"/>
      <c r="C43" s="1365"/>
      <c r="D43" s="1365"/>
      <c r="E43" s="2277">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158</v>
      </c>
      <c r="B44" s="1365" t="s">
        <v>159</v>
      </c>
      <c r="C44" s="1365"/>
      <c r="D44" s="1365"/>
      <c r="E44" s="2278"/>
      <c r="F44" s="2277">
        <v>1</v>
      </c>
      <c r="G44" s="1365"/>
      <c r="H44" s="1365"/>
      <c r="I44" s="1365"/>
      <c r="J44" s="1365"/>
      <c r="K44" s="1365"/>
      <c r="L44" s="1366"/>
      <c r="M44" s="1367"/>
      <c r="N44" s="1367"/>
      <c r="O44" s="1367"/>
      <c r="P44" s="1334"/>
      <c r="Q44" s="354"/>
      <c r="R44" s="355"/>
      <c r="S44" s="1338" t="str">
        <f>INDEX(PT_DIFFERENTIATION_NUM_TER,MATCH(B44,PT_DIFFERENTIATION_TER_ID,0))</f>
        <v>.</v>
      </c>
      <c r="T44" s="310"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502"/>
      <c r="AP44" s="502" t="str">
        <f>IF(T44="","",T44)</f>
        <v>Территория действия тарифа</v>
      </c>
      <c r="AQ44" s="502"/>
      <c r="AR44" s="502"/>
      <c r="AS44" s="1157">
        <v>21</v>
      </c>
    </row>
    <row customHeight="1" ht="24">
      <c r="A45" s="1365" t="s">
        <v>158</v>
      </c>
      <c r="B45" s="1365" t="s">
        <v>159</v>
      </c>
      <c r="C45" s="1365" t="s">
        <v>160</v>
      </c>
      <c r="D45" s="1365"/>
      <c r="E45" s="2278"/>
      <c r="F45" s="2278"/>
      <c r="G45" s="2277">
        <v>1</v>
      </c>
      <c r="H45" s="1365"/>
      <c r="I45" s="1365"/>
      <c r="J45" s="1365"/>
      <c r="K45" s="1365"/>
      <c r="L45" s="1366"/>
      <c r="M45" s="1367"/>
      <c r="N45" s="1367"/>
      <c r="O45" s="1367"/>
      <c r="P45" s="356"/>
      <c r="Q45" s="354"/>
      <c r="R45" s="355"/>
      <c r="S45" s="1338"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502"/>
      <c r="AP45" s="502" t="str">
        <f>IF(T45="","",T45)</f>
        <v>Наименование системы теплоснабжения </v>
      </c>
      <c r="AQ45" s="502"/>
      <c r="AR45" s="502"/>
      <c r="AS45" s="1157">
        <v>23</v>
      </c>
    </row>
    <row customHeight="1" ht="22.049999999999997">
      <c r="A46" s="1365" t="s">
        <v>158</v>
      </c>
      <c r="B46" s="1365" t="s">
        <v>159</v>
      </c>
      <c r="C46" s="1365" t="s">
        <v>160</v>
      </c>
      <c r="D46" s="1365" t="s">
        <v>161</v>
      </c>
      <c r="E46" s="2278"/>
      <c r="F46" s="2278"/>
      <c r="G46" s="2278"/>
      <c r="H46" s="2277">
        <v>1</v>
      </c>
      <c r="I46" s="1365"/>
      <c r="J46" s="1365"/>
      <c r="K46" s="1365"/>
      <c r="L46" s="1366"/>
      <c r="M46" s="1367"/>
      <c r="N46" s="1367"/>
      <c r="O46" s="1367"/>
      <c r="P46" s="356"/>
      <c r="Q46" s="354"/>
      <c r="R46" s="355"/>
      <c r="S46" s="1338"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502"/>
      <c r="AP46" s="502" t="str">
        <f>IF(T46="","",T46)</f>
        <v>Источник тепловой энергии  </v>
      </c>
      <c r="AQ46" s="502"/>
      <c r="AR46" s="502"/>
      <c r="AS46" s="1157">
        <v>21</v>
      </c>
    </row>
    <row customHeight="1" ht="49.5">
      <c r="A47" s="1365" t="s">
        <v>158</v>
      </c>
      <c r="B47" s="1365" t="s">
        <v>159</v>
      </c>
      <c r="C47" s="1365" t="s">
        <v>160</v>
      </c>
      <c r="D47" s="1365" t="s">
        <v>161</v>
      </c>
      <c r="E47" s="2278"/>
      <c r="F47" s="2278"/>
      <c r="G47" s="2278"/>
      <c r="H47" s="2278"/>
      <c r="I47" s="2279" t="str">
        <f>S46&amp;".1"</f>
        <v>....1</v>
      </c>
      <c r="J47" s="1365"/>
      <c r="K47" s="1365"/>
      <c r="L47" s="1366" t="s">
        <v>398</v>
      </c>
      <c r="P47" s="2281">
        <v>1</v>
      </c>
      <c r="Q47" s="1333"/>
      <c r="R47" s="358"/>
      <c r="S47" s="1338" t="str">
        <f>$I47</f>
        <v>....1</v>
      </c>
      <c r="T47" s="287" t="s">
        <v>399</v>
      </c>
      <c r="U47" s="302"/>
      <c r="V47" s="2265"/>
      <c r="W47" s="2266"/>
      <c r="X47" s="2266"/>
      <c r="Y47" s="2266"/>
      <c r="Z47" s="2266"/>
      <c r="AA47" s="2266"/>
      <c r="AB47" s="2266"/>
      <c r="AC47" s="2267"/>
      <c r="AD47" s="2265"/>
      <c r="AE47" s="2266"/>
      <c r="AF47" s="2266"/>
      <c r="AG47" s="2266"/>
      <c r="AH47" s="2266"/>
      <c r="AI47" s="2266"/>
      <c r="AJ47" s="2266"/>
      <c r="AK47" s="2266"/>
      <c r="AL47" s="2267"/>
      <c r="AM47" s="1260" t="s">
        <v>400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158</v>
      </c>
      <c r="B48" s="1365" t="s">
        <v>159</v>
      </c>
      <c r="C48" s="1365" t="s">
        <v>160</v>
      </c>
      <c r="D48" s="1365" t="s">
        <v>161</v>
      </c>
      <c r="E48" s="2278"/>
      <c r="F48" s="2278"/>
      <c r="G48" s="2278"/>
      <c r="H48" s="2278"/>
      <c r="I48" s="2280"/>
      <c r="J48" s="2279" t="str">
        <f>I47&amp;".1"</f>
        <v>....1.1</v>
      </c>
      <c r="K48" s="1365"/>
      <c r="L48" s="1366" t="s">
        <v>401</v>
      </c>
      <c r="P48" s="2281"/>
      <c r="Q48" s="2281">
        <v>1</v>
      </c>
      <c r="R48" s="359"/>
      <c r="S48" s="1338" t="str">
        <f>$J48</f>
        <v>....1.1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502"/>
      <c r="AP48" s="502" t="str">
        <f>IF(T48="","",T48)</f>
        <v>Группа потребителей</v>
      </c>
      <c r="AQ48" s="502"/>
      <c r="AR48" s="502"/>
      <c r="AS48" s="1157">
        <v>21</v>
      </c>
    </row>
    <row customHeight="1" ht="22.049999999999997">
      <c r="A49" s="1365" t="s">
        <v>158</v>
      </c>
      <c r="B49" s="1365" t="s">
        <v>159</v>
      </c>
      <c r="C49" s="1365" t="s">
        <v>160</v>
      </c>
      <c r="D49" s="1365" t="s">
        <v>161</v>
      </c>
      <c r="E49" s="2278"/>
      <c r="F49" s="2278"/>
      <c r="G49" s="2278"/>
      <c r="H49" s="2278"/>
      <c r="I49" s="2280"/>
      <c r="J49" s="2280"/>
      <c r="K49" s="2279" t="str">
        <f>J48&amp;".1"</f>
        <v>....1.1.1</v>
      </c>
      <c r="L49" s="1366" t="s">
        <v>404</v>
      </c>
      <c r="P49" s="2281"/>
      <c r="Q49" s="2281"/>
      <c r="R49" s="359">
        <v>1</v>
      </c>
      <c r="S49" s="1338" t="str">
        <f>$K49</f>
        <v>....1.1.1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405</v>
      </c>
      <c r="AN49" s="513">
        <f>STRCHECKDATE(V50:AL50)</f>
      </c>
      <c r="AO49" s="502"/>
      <c r="AP49" s="502" t="str">
        <f>IF(T49="","",T49)</f>
        <v/>
      </c>
      <c r="AQ49" s="502"/>
      <c r="AR49" s="502"/>
      <c r="AS49" s="1157">
        <v>21</v>
      </c>
    </row>
    <row customHeight="1" ht="1.05">
      <c r="A50" s="1365" t="s">
        <v>158</v>
      </c>
      <c r="B50" s="1365" t="s">
        <v>159</v>
      </c>
      <c r="C50" s="1365" t="s">
        <v>160</v>
      </c>
      <c r="D50" s="1365" t="s">
        <v>161</v>
      </c>
      <c r="E50" s="2278"/>
      <c r="F50" s="2278"/>
      <c r="G50" s="2278"/>
      <c r="H50" s="2278"/>
      <c r="I50" s="2280"/>
      <c r="J50" s="2280"/>
      <c r="K50" s="2279"/>
      <c r="L50" s="1366"/>
      <c r="P50" s="2281"/>
      <c r="Q50" s="2281"/>
      <c r="R50" s="359"/>
      <c r="S50" s="1344"/>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502"/>
      <c r="AP50" s="502" t="str">
        <f>IF(T50="","",T50)</f>
        <v/>
      </c>
      <c r="AQ50" s="502"/>
      <c r="AR50" s="502"/>
      <c r="AS50" s="1157">
        <v>1</v>
      </c>
    </row>
    <row customHeight="1" ht="11.549999999999999">
      <c r="A51" s="1365" t="s">
        <v>158</v>
      </c>
      <c r="B51" s="1365" t="s">
        <v>159</v>
      </c>
      <c r="C51" s="1365" t="s">
        <v>160</v>
      </c>
      <c r="D51" s="1365" t="s">
        <v>161</v>
      </c>
      <c r="E51" s="2278"/>
      <c r="F51" s="2278"/>
      <c r="G51" s="2278"/>
      <c r="H51" s="2278"/>
      <c r="I51" s="2280"/>
      <c r="J51" s="2279"/>
      <c r="K51" s="1365"/>
      <c r="L51" s="1366"/>
      <c r="P51" s="2281"/>
      <c r="Q51" s="2281"/>
      <c r="R51" s="358"/>
      <c r="S51" s="1280"/>
      <c r="T51" s="290" t="s">
        <v>406</v>
      </c>
      <c r="U51" s="369"/>
      <c r="V51" s="369"/>
      <c r="W51" s="369"/>
      <c r="X51" s="369"/>
      <c r="Y51" s="369"/>
      <c r="Z51" s="369"/>
      <c r="AA51" s="369"/>
      <c r="AB51" s="369"/>
      <c r="AC51" s="369"/>
      <c r="AD51" s="369"/>
      <c r="AE51" s="369"/>
      <c r="AF51" s="369"/>
      <c r="AG51" s="369"/>
      <c r="AH51" s="369"/>
      <c r="AI51" s="369"/>
      <c r="AJ51" s="369"/>
      <c r="AK51" s="369"/>
      <c r="AL51" s="326"/>
      <c r="AM51" s="2309"/>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78"/>
      <c r="F52" s="2278"/>
      <c r="G52" s="2278"/>
      <c r="H52" s="2278"/>
      <c r="I52" s="2279"/>
      <c r="J52" s="1365"/>
      <c r="K52" s="1365"/>
      <c r="L52" s="1366"/>
      <c r="P52" s="2281"/>
      <c r="Q52" s="1333"/>
      <c r="R52" s="358"/>
      <c r="S52" s="1280"/>
      <c r="T52" s="289" t="s">
        <v>407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78"/>
      <c r="F53" s="2278"/>
      <c r="G53" s="2278"/>
      <c r="H53" s="2277"/>
      <c r="I53" s="1365"/>
      <c r="J53" s="1365"/>
      <c r="K53" s="1365"/>
      <c r="L53" s="1366"/>
      <c r="M53" s="1367"/>
      <c r="N53" s="1367"/>
      <c r="O53" s="539"/>
      <c r="P53" s="362"/>
      <c r="Q53" s="377"/>
      <c r="R53" s="357"/>
      <c r="S53" s="1280"/>
      <c r="T53" s="367" t="s">
        <v>408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78"/>
      <c r="F54" s="2278"/>
      <c r="G54" s="2277"/>
      <c r="H54" s="1316"/>
      <c r="I54" s="1316"/>
      <c r="J54" s="1316"/>
      <c r="K54" s="1316"/>
      <c r="L54" s="1341"/>
      <c r="M54" s="1317"/>
      <c r="N54" s="131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78"/>
      <c r="F55" s="2277"/>
      <c r="G55" s="1316"/>
      <c r="H55" s="1316"/>
      <c r="I55" s="1316"/>
      <c r="J55" s="1316"/>
      <c r="K55" s="1316"/>
      <c r="L55" s="1341"/>
      <c r="M55" s="1323"/>
      <c r="N55" s="132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77"/>
      <c r="F56" s="1345"/>
      <c r="G56" s="1345"/>
      <c r="H56" s="1345"/>
      <c r="I56" s="1345"/>
      <c r="J56" s="1345"/>
      <c r="K56" s="1345"/>
      <c r="L56" s="1348"/>
      <c r="M56" s="1323"/>
      <c r="N56" s="1323"/>
      <c r="O56" s="520"/>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157">
        <v>27</v>
      </c>
    </row>
    <row customHeight="1" ht="65.25">
      <c r="O60" s="539"/>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157">
        <v>62</v>
      </c>
    </row>
    <row customHeight="1" ht="14.699999999999998">
      <c r="O61" s="539"/>
      <c r="AS61" s="1157">
        <v>14</v>
      </c>
    </row>
    <row customHeight="1" ht="18.75">
      <c r="O62" s="539"/>
      <c r="S62" s="1255"/>
      <c r="T62" s="2276"/>
      <c r="U62" s="2276"/>
      <c r="V62" s="2276"/>
      <c r="W62" s="2276"/>
      <c r="X62" s="2276"/>
      <c r="Y62" s="2276"/>
      <c r="Z62" s="2276"/>
      <c r="AA62" s="2276"/>
      <c r="AB62" s="2276"/>
      <c r="AC62" s="2276"/>
      <c r="AD62" s="2276"/>
      <c r="AE62" s="2276"/>
      <c r="AF62" s="2276"/>
      <c r="AG62" s="2276"/>
      <c r="AH62" s="2276"/>
      <c r="AI62" s="2276"/>
      <c r="AJ62" s="2276"/>
      <c r="AK62" s="2276"/>
      <c r="AL62" s="2276"/>
      <c r="AM62" s="2276"/>
      <c r="AS62" s="1157">
        <v>18</v>
      </c>
    </row>
    <row customHeight="1" ht="18.75">
      <c r="O63" s="539"/>
      <c r="T63" s="2276"/>
      <c r="U63" s="2276"/>
      <c r="V63" s="2276"/>
      <c r="W63" s="2276"/>
      <c r="X63" s="2276"/>
      <c r="Y63" s="2276"/>
      <c r="Z63" s="2276"/>
      <c r="AA63" s="2276"/>
      <c r="AB63" s="2276"/>
      <c r="AC63" s="2276"/>
      <c r="AD63" s="2276"/>
      <c r="AE63" s="2276"/>
      <c r="AF63" s="2276"/>
      <c r="AG63" s="2276"/>
      <c r="AH63" s="2276"/>
      <c r="AI63" s="2276"/>
      <c r="AJ63" s="2276"/>
      <c r="AK63" s="2276"/>
      <c r="AL63" s="2276"/>
      <c r="AM63" s="2276"/>
      <c r="AS63" s="1157">
        <v>18</v>
      </c>
    </row>
    <row customHeight="1" ht="29.25">
      <c r="O64" s="539"/>
      <c r="S64" s="1255"/>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37D18-3031-91E6-CC49-068A76890C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38" width="19.140625" hidden="1" customWidth="1"/>
    <col min="13" max="14" style="2420" width="12.28125" hidden="1" customWidth="1"/>
    <col min="15" max="15" style="2420" width="23.421875" hidden="1" customWidth="1"/>
    <col min="16" max="16" style="2420" width="3.00390625" customWidth="1"/>
    <col min="17" max="18" style="346" width="3.00390625" customWidth="1"/>
    <col min="19" max="19" style="2433"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312">
        <v>1</v>
      </c>
      <c r="F2" s="1269"/>
      <c r="G2" s="1269"/>
      <c r="H2" s="1269"/>
      <c r="I2" s="1269"/>
      <c r="J2" s="1269"/>
      <c r="K2" s="1269"/>
      <c r="L2" s="1312"/>
      <c r="M2" s="1612"/>
      <c r="N2" s="1612"/>
      <c r="O2" s="1612"/>
      <c r="P2" s="1592"/>
      <c r="Q2" s="362"/>
      <c r="R2" s="357"/>
      <c r="S2" s="1957">
        <f>INDEX(PT_DIFFERENTIATION_NUM_NTAR,MATCH(A2,PT_DIFFERENTIATION_NTAR_ID,0))</f>
      </c>
      <c r="T2" s="1527"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1626"/>
      <c r="AP2" s="1626" t="str">
        <f>IF(T2="","",T2)</f>
        <v>Наименование тарифа</v>
      </c>
      <c r="AQ2" s="1626"/>
      <c r="AR2" s="1626"/>
      <c r="AS2" s="1633">
        <v>0</v>
      </c>
    </row>
    <row customHeight="1" ht="21" hidden="1">
      <c r="A3" s="1269"/>
      <c r="B3" s="1269"/>
      <c r="C3" s="1269"/>
      <c r="D3" s="1269"/>
      <c r="E3" s="2313"/>
      <c r="F3" s="2312">
        <v>1</v>
      </c>
      <c r="G3" s="1269"/>
      <c r="H3" s="1269"/>
      <c r="I3" s="1269"/>
      <c r="J3" s="1269"/>
      <c r="K3" s="1269"/>
      <c r="L3" s="1312"/>
      <c r="M3" s="1612"/>
      <c r="N3" s="1612"/>
      <c r="O3" s="1612"/>
      <c r="P3" s="1939"/>
      <c r="Q3" s="354"/>
      <c r="R3" s="355"/>
      <c r="S3" s="1957">
        <f>INDEX(PT_DIFFERENTIATION_NUM_TER,MATCH(B3,PT_DIFFERENTIATION_TER_ID,0))</f>
      </c>
      <c r="T3" s="1524"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1626"/>
      <c r="AP3" s="1626" t="str">
        <f>IF(T3="","",T3)</f>
        <v>Территория действия тарифа</v>
      </c>
      <c r="AQ3" s="1626"/>
      <c r="AR3" s="1626"/>
      <c r="AS3" s="1633">
        <v>0</v>
      </c>
    </row>
    <row customHeight="1" ht="23.25" hidden="1">
      <c r="A4" s="1269"/>
      <c r="B4" s="1269"/>
      <c r="C4" s="1269"/>
      <c r="D4" s="1269"/>
      <c r="E4" s="2313"/>
      <c r="F4" s="2313"/>
      <c r="G4" s="2312">
        <v>1</v>
      </c>
      <c r="H4" s="1269"/>
      <c r="I4" s="1269"/>
      <c r="J4" s="1269"/>
      <c r="K4" s="1269"/>
      <c r="L4" s="1312"/>
      <c r="M4" s="1612"/>
      <c r="N4" s="1612"/>
      <c r="O4" s="1612"/>
      <c r="P4" s="356"/>
      <c r="Q4" s="354"/>
      <c r="R4" s="355"/>
      <c r="S4" s="1957">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1626"/>
      <c r="AP4" s="1626" t="str">
        <f>IF(T4="","",T4)</f>
        <v>Наименование системы теплоснабжения </v>
      </c>
      <c r="AQ4" s="1626"/>
      <c r="AR4" s="1626"/>
      <c r="AS4" s="1633">
        <v>0</v>
      </c>
    </row>
    <row customHeight="1" ht="21" hidden="1">
      <c r="A5" s="1269"/>
      <c r="B5" s="1269"/>
      <c r="C5" s="1269"/>
      <c r="D5" s="1269"/>
      <c r="E5" s="2313"/>
      <c r="F5" s="2313"/>
      <c r="G5" s="2313"/>
      <c r="H5" s="2312">
        <v>1</v>
      </c>
      <c r="I5" s="1269"/>
      <c r="J5" s="1269"/>
      <c r="K5" s="1269"/>
      <c r="L5" s="1312"/>
      <c r="M5" s="1612"/>
      <c r="N5" s="1612"/>
      <c r="O5" s="1612"/>
      <c r="P5" s="356"/>
      <c r="Q5" s="354"/>
      <c r="R5" s="355"/>
      <c r="S5" s="1957">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1626"/>
      <c r="AP5" s="1626" t="str">
        <f>IF(T5="","",T5)</f>
        <v>Источник тепловой энергии  </v>
      </c>
      <c r="AQ5" s="1626"/>
      <c r="AR5" s="1626"/>
      <c r="AS5" s="1633">
        <v>0</v>
      </c>
    </row>
    <row customHeight="1" ht="47.25" hidden="1">
      <c r="A6" s="1269"/>
      <c r="B6" s="1269"/>
      <c r="C6" s="1269"/>
      <c r="D6" s="1269"/>
      <c r="E6" s="2313"/>
      <c r="F6" s="2313"/>
      <c r="G6" s="2313"/>
      <c r="H6" s="2313"/>
      <c r="I6" s="2140">
        <f>S5&amp;".1"</f>
      </c>
      <c r="J6" s="1269"/>
      <c r="K6" s="1269"/>
      <c r="L6" s="1312" t="s">
        <v>398</v>
      </c>
      <c r="M6" s="1637"/>
      <c r="P6" s="2281">
        <v>1</v>
      </c>
      <c r="Q6" s="1953"/>
      <c r="R6" s="358"/>
      <c r="S6" s="1957">
        <f>$I6</f>
      </c>
      <c r="T6" s="287" t="s">
        <v>399</v>
      </c>
      <c r="U6" s="302"/>
      <c r="V6" s="2265"/>
      <c r="W6" s="2266"/>
      <c r="X6" s="2266"/>
      <c r="Y6" s="2266"/>
      <c r="Z6" s="2266"/>
      <c r="AA6" s="2266"/>
      <c r="AB6" s="2266"/>
      <c r="AC6" s="2267"/>
      <c r="AD6" s="2265"/>
      <c r="AE6" s="2266"/>
      <c r="AF6" s="2266"/>
      <c r="AG6" s="2266"/>
      <c r="AH6" s="2266"/>
      <c r="AI6" s="2266"/>
      <c r="AJ6" s="2266"/>
      <c r="AK6" s="2266"/>
      <c r="AL6" s="2267"/>
      <c r="AM6" s="1260" t="s">
        <v>400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313"/>
      <c r="F7" s="2313"/>
      <c r="G7" s="2313"/>
      <c r="H7" s="2313"/>
      <c r="I7" s="2124"/>
      <c r="J7" s="2140">
        <f>I6&amp;".1"</f>
      </c>
      <c r="K7" s="1269"/>
      <c r="L7" s="1312" t="s">
        <v>401</v>
      </c>
      <c r="M7" s="1637"/>
      <c r="N7" s="1633"/>
      <c r="P7" s="2281"/>
      <c r="Q7" s="2281">
        <v>1</v>
      </c>
      <c r="R7" s="359"/>
      <c r="S7" s="1957">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1626"/>
      <c r="AP7" s="1626" t="str">
        <f>IF(T7="","",T7)</f>
        <v>Группа потребителей</v>
      </c>
      <c r="AQ7" s="1626"/>
      <c r="AR7" s="1626"/>
      <c r="AS7" s="1633">
        <v>0</v>
      </c>
    </row>
    <row customHeight="1" ht="21" hidden="1">
      <c r="A8" s="1269"/>
      <c r="B8" s="1269"/>
      <c r="C8" s="1269"/>
      <c r="D8" s="1269"/>
      <c r="E8" s="2313"/>
      <c r="F8" s="2313"/>
      <c r="G8" s="2313"/>
      <c r="H8" s="2313"/>
      <c r="I8" s="2124"/>
      <c r="J8" s="2124"/>
      <c r="K8" s="2140">
        <f>J7&amp;".1"</f>
      </c>
      <c r="L8" s="1312" t="s">
        <v>404</v>
      </c>
      <c r="M8" s="1637"/>
      <c r="N8" s="1633"/>
      <c r="O8" s="1633"/>
      <c r="P8" s="2281"/>
      <c r="Q8" s="2281"/>
      <c r="R8" s="359">
        <v>1</v>
      </c>
      <c r="S8" s="1957">
        <f>$K8</f>
      </c>
      <c r="T8" s="1349"/>
      <c r="U8" s="302"/>
      <c r="V8" s="753"/>
      <c r="W8" s="327"/>
      <c r="X8" s="753"/>
      <c r="Y8" s="1259"/>
      <c r="Z8" s="2282"/>
      <c r="AA8" s="2150" t="s">
        <v>65</v>
      </c>
      <c r="AB8" s="2282"/>
      <c r="AC8" s="2150" t="s">
        <v>65</v>
      </c>
      <c r="AD8" s="753"/>
      <c r="AE8" s="327"/>
      <c r="AF8" s="753"/>
      <c r="AG8" s="1259"/>
      <c r="AH8" s="2282"/>
      <c r="AI8" s="2150" t="s">
        <v>65</v>
      </c>
      <c r="AJ8" s="2282"/>
      <c r="AK8" s="2150" t="s">
        <v>65</v>
      </c>
      <c r="AL8" s="327"/>
      <c r="AM8" s="2307" t="s">
        <v>405</v>
      </c>
      <c r="AN8" s="1638">
        <f>STRCHECKDATE(V9:AL9)</f>
      </c>
      <c r="AO8" s="1626"/>
      <c r="AP8" s="1626" t="str">
        <f>IF(T8="","",T8)</f>
        <v/>
      </c>
      <c r="AQ8" s="1626"/>
      <c r="AR8" s="1626"/>
      <c r="AS8" s="1633">
        <v>0</v>
      </c>
    </row>
    <row customHeight="1" ht="0.75" hidden="1">
      <c r="A9" s="1269"/>
      <c r="B9" s="1269"/>
      <c r="C9" s="1269"/>
      <c r="D9" s="1269"/>
      <c r="E9" s="2313"/>
      <c r="F9" s="2313"/>
      <c r="G9" s="2313"/>
      <c r="H9" s="2313"/>
      <c r="I9" s="2124"/>
      <c r="J9" s="2124"/>
      <c r="K9" s="2140"/>
      <c r="L9" s="1312"/>
      <c r="M9" s="1637"/>
      <c r="N9" s="1633"/>
      <c r="O9" s="1633"/>
      <c r="P9" s="2281"/>
      <c r="Q9" s="2281"/>
      <c r="R9" s="359"/>
      <c r="S9" s="1966"/>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1626"/>
      <c r="AP9" s="1626" t="str">
        <f>IF(T9="","",T9)</f>
        <v/>
      </c>
      <c r="AQ9" s="1626"/>
      <c r="AR9" s="1626"/>
      <c r="AS9" s="1633">
        <v>0</v>
      </c>
    </row>
    <row customHeight="1" ht="15" hidden="1">
      <c r="A10" s="1269"/>
      <c r="B10" s="1269"/>
      <c r="C10" s="1269"/>
      <c r="D10" s="1269"/>
      <c r="E10" s="2313"/>
      <c r="F10" s="2313"/>
      <c r="G10" s="2313"/>
      <c r="H10" s="2313"/>
      <c r="I10" s="2124"/>
      <c r="J10" s="2140"/>
      <c r="K10" s="1269"/>
      <c r="L10" s="1312"/>
      <c r="M10" s="1637"/>
      <c r="N10" s="1633"/>
      <c r="P10" s="2281"/>
      <c r="Q10" s="2281"/>
      <c r="R10" s="358"/>
      <c r="S10" s="1280"/>
      <c r="T10" s="290" t="s">
        <v>406</v>
      </c>
      <c r="U10" s="602"/>
      <c r="V10" s="602"/>
      <c r="W10" s="602"/>
      <c r="X10" s="602"/>
      <c r="Y10" s="602"/>
      <c r="Z10" s="602"/>
      <c r="AA10" s="602"/>
      <c r="AB10" s="602"/>
      <c r="AC10" s="602"/>
      <c r="AD10" s="602"/>
      <c r="AE10" s="602"/>
      <c r="AF10" s="602"/>
      <c r="AG10" s="602"/>
      <c r="AH10" s="602"/>
      <c r="AI10" s="602"/>
      <c r="AJ10" s="602"/>
      <c r="AK10" s="602"/>
      <c r="AL10" s="326"/>
      <c r="AM10" s="2309"/>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313"/>
      <c r="F11" s="2313"/>
      <c r="G11" s="2313"/>
      <c r="H11" s="2313"/>
      <c r="I11" s="2140"/>
      <c r="J11" s="1269"/>
      <c r="K11" s="1269"/>
      <c r="L11" s="1312"/>
      <c r="M11" s="1637"/>
      <c r="P11" s="2281"/>
      <c r="Q11" s="1953"/>
      <c r="R11" s="358"/>
      <c r="S11" s="1280"/>
      <c r="T11" s="289" t="s">
        <v>407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313"/>
      <c r="F12" s="2313"/>
      <c r="G12" s="2313"/>
      <c r="H12" s="2312"/>
      <c r="I12" s="1269"/>
      <c r="J12" s="1269"/>
      <c r="K12" s="1269"/>
      <c r="L12" s="1312"/>
      <c r="M12" s="1612"/>
      <c r="N12" s="1612"/>
      <c r="O12" s="1637"/>
      <c r="P12" s="362"/>
      <c r="Q12" s="377"/>
      <c r="R12" s="357"/>
      <c r="S12" s="1280"/>
      <c r="T12" s="367" t="s">
        <v>408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313"/>
      <c r="F13" s="2313"/>
      <c r="G13" s="2312"/>
      <c r="H13" s="1376"/>
      <c r="I13" s="1376"/>
      <c r="J13" s="1376"/>
      <c r="K13" s="1376"/>
      <c r="L13" s="1379"/>
      <c r="M13" s="1380"/>
      <c r="N13" s="1380"/>
      <c r="O13" s="353"/>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313"/>
      <c r="F14" s="2312"/>
      <c r="G14" s="1376"/>
      <c r="H14" s="1376"/>
      <c r="I14" s="1376"/>
      <c r="J14" s="1376"/>
      <c r="K14" s="1376"/>
      <c r="L14" s="1379"/>
      <c r="M14" s="1381"/>
      <c r="N14" s="1381"/>
      <c r="O14" s="35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312"/>
      <c r="F15" s="1376"/>
      <c r="G15" s="1376"/>
      <c r="H15" s="1376"/>
      <c r="I15" s="1376"/>
      <c r="J15" s="1376"/>
      <c r="K15" s="1376"/>
      <c r="L15" s="1379"/>
      <c r="M15" s="1381"/>
      <c r="N15" s="1381"/>
      <c r="O15" s="35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75"/>
      <c r="AI17" s="2274" t="s">
        <v>65</v>
      </c>
      <c r="AJ17" s="2275"/>
      <c r="AK17" s="2274" t="s">
        <v>65</v>
      </c>
      <c r="AS17" s="1633">
        <v>0</v>
      </c>
    </row>
    <row customHeight="1" ht="14.25" hidden="1">
      <c r="AD18" s="1362"/>
      <c r="AE18" s="1362"/>
      <c r="AF18" s="1362"/>
      <c r="AG18" s="330" t="str">
        <f>AH17&amp;"-"&amp;AJ17</f>
        <v>-</v>
      </c>
      <c r="AH18" s="2274"/>
      <c r="AI18" s="2274"/>
      <c r="AJ18" s="2274"/>
      <c r="AK18" s="2274"/>
      <c r="AS18" s="1633">
        <v>0</v>
      </c>
    </row>
    <row customHeight="1" ht="14.25" hidden="1">
      <c r="AS19" s="1633">
        <v>0</v>
      </c>
    </row>
    <row s="1368" customFormat="1" customHeight="1" ht="22.5" hidden="1">
      <c r="A20" s="1633"/>
      <c r="B20" s="1633"/>
      <c r="C20" s="1633"/>
      <c r="D20" s="1633"/>
      <c r="E20" s="1633"/>
      <c r="F20" s="1633"/>
      <c r="G20" s="1633"/>
      <c r="H20" s="1633"/>
      <c r="I20" s="1633"/>
      <c r="J20" s="1633"/>
      <c r="K20" s="1633"/>
      <c r="L20" s="1938"/>
      <c r="M20" s="1964"/>
      <c r="N20" s="1964"/>
      <c r="O20" s="1347" t="s">
        <v>412</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38"/>
      <c r="M21" s="1964"/>
      <c r="N21" s="1964"/>
      <c r="O21" s="1964"/>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38"/>
      <c r="M22" s="1964"/>
      <c r="N22" s="1964"/>
      <c r="O22" s="1312" t="s">
        <v>413</v>
      </c>
      <c r="P22" s="1364"/>
      <c r="Q22" s="1373"/>
      <c r="R22" s="1373"/>
      <c r="S22" s="731"/>
      <c r="T22" s="1368" t="s">
        <v>414</v>
      </c>
      <c r="AA22" s="597" t="s">
        <v>415</v>
      </c>
      <c r="AC22" s="597" t="s">
        <v>416</v>
      </c>
      <c r="AD22" s="1368" t="s">
        <v>414</v>
      </c>
      <c r="AI22" s="597" t="s">
        <v>417</v>
      </c>
      <c r="AK22" s="597" t="s">
        <v>416</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3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0"/>
      <c r="U26" s="2310"/>
      <c r="V26" s="2310"/>
      <c r="W26" s="2310"/>
      <c r="X26" s="2310"/>
      <c r="Y26" s="2310"/>
      <c r="Z26" s="2310"/>
      <c r="AA26" s="2310"/>
      <c r="AB26" s="2310"/>
      <c r="AC26" s="2310"/>
      <c r="AD26" s="2310"/>
      <c r="AE26" s="2310"/>
      <c r="AF26" s="2310"/>
      <c r="AG26" s="2310"/>
      <c r="AH26" s="2310"/>
      <c r="AI26" s="2310"/>
      <c r="AJ26" s="2310"/>
      <c r="AK26" s="1245"/>
      <c r="AS26" s="1633">
        <v>14</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2" customFormat="1" customHeight="1" ht="25.5" hidden="1">
      <c r="A29" s="1250"/>
      <c r="B29" s="1250"/>
      <c r="C29" s="1250"/>
      <c r="D29" s="1250"/>
      <c r="E29" s="1250"/>
      <c r="F29" s="1250"/>
      <c r="G29" s="1250"/>
      <c r="H29" s="1250"/>
      <c r="I29" s="1250"/>
      <c r="J29" s="1250"/>
      <c r="K29" s="1250"/>
      <c r="L29" s="1382"/>
      <c r="M29" s="1250"/>
      <c r="N29" s="1250"/>
      <c r="O29" s="125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1637"/>
      <c r="AD29" s="2270" t="str">
        <f>IF(TITLE_NAME_OR_PR_CHANGE="",IF(TITLE_NAME_OR_PR="","",TITLE_NAME_OR_PR),TITLE_NAME_OR_PR_CHANGE)</f>
        <v/>
      </c>
      <c r="AE29" s="2270"/>
      <c r="AF29" s="2270"/>
      <c r="AG29" s="2270"/>
      <c r="AH29" s="2270"/>
      <c r="AI29" s="2270"/>
      <c r="AJ29" s="2270"/>
      <c r="AK29" s="1637"/>
      <c r="AL29" s="1637"/>
      <c r="AM29" s="282"/>
      <c r="AN29" s="370"/>
      <c r="AO29" s="370"/>
      <c r="AP29" s="370"/>
      <c r="AQ29" s="370"/>
      <c r="AR29" s="370"/>
      <c r="AS29" s="420">
        <v>0</v>
      </c>
    </row>
    <row s="1852" customFormat="1" customHeight="1" ht="18.75" hidden="1">
      <c r="A30" s="1250"/>
      <c r="B30" s="1250"/>
      <c r="C30" s="1250"/>
      <c r="D30" s="1250"/>
      <c r="E30" s="1250"/>
      <c r="F30" s="1250"/>
      <c r="G30" s="1250"/>
      <c r="H30" s="1250"/>
      <c r="I30" s="1250"/>
      <c r="J30" s="1250"/>
      <c r="K30" s="1250"/>
      <c r="L30" s="1382"/>
      <c r="M30" s="1250"/>
      <c r="N30" s="1250"/>
      <c r="O30" s="125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1637"/>
      <c r="AD30" s="2269" t="str">
        <f>IF(TITLE_DATE_PR_CHANGE="",IF(TITLE_DATE_PR="","",TITLE_DATE_PR),TITLE_DATE_PR_CHANGE)</f>
        <v/>
      </c>
      <c r="AE30" s="2269"/>
      <c r="AF30" s="2269"/>
      <c r="AG30" s="2269"/>
      <c r="AH30" s="2269"/>
      <c r="AI30" s="2269"/>
      <c r="AJ30" s="2269"/>
      <c r="AK30" s="1637"/>
      <c r="AL30" s="1637"/>
      <c r="AM30" s="282"/>
      <c r="AN30" s="370"/>
      <c r="AO30" s="370"/>
      <c r="AP30" s="370"/>
      <c r="AQ30" s="370"/>
      <c r="AR30" s="370"/>
      <c r="AS30" s="420">
        <v>0</v>
      </c>
    </row>
    <row s="1852" customFormat="1" customHeight="1" ht="18.75" hidden="1">
      <c r="A31" s="1250"/>
      <c r="B31" s="1250"/>
      <c r="C31" s="1250"/>
      <c r="D31" s="1250"/>
      <c r="E31" s="1250"/>
      <c r="F31" s="1250"/>
      <c r="G31" s="1250"/>
      <c r="H31" s="1250"/>
      <c r="I31" s="1250"/>
      <c r="J31" s="1250"/>
      <c r="K31" s="1250"/>
      <c r="L31" s="1382"/>
      <c r="M31" s="1250"/>
      <c r="N31" s="1250"/>
      <c r="O31" s="125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1637"/>
      <c r="AD31" s="2270" t="str">
        <f>IF(TITLE_NUMBER_PR_CHANGE="",IF(TITLE_NUMBER_PR="","",TITLE_NUMBER_PR),TITLE_NUMBER_PR_CHANGE)</f>
        <v/>
      </c>
      <c r="AE31" s="2270"/>
      <c r="AF31" s="2270"/>
      <c r="AG31" s="2270"/>
      <c r="AH31" s="2270"/>
      <c r="AI31" s="2270"/>
      <c r="AJ31" s="2270"/>
      <c r="AK31" s="1637"/>
      <c r="AL31" s="1637"/>
      <c r="AM31" s="282"/>
      <c r="AN31" s="370"/>
      <c r="AO31" s="370"/>
      <c r="AP31" s="370"/>
      <c r="AQ31" s="370"/>
      <c r="AR31" s="370"/>
      <c r="AS31" s="420">
        <v>0</v>
      </c>
    </row>
    <row s="1852" customFormat="1" customHeight="1" ht="18.75" hidden="1">
      <c r="A32" s="1250"/>
      <c r="B32" s="1250"/>
      <c r="C32" s="1250"/>
      <c r="D32" s="1250"/>
      <c r="E32" s="1250"/>
      <c r="F32" s="1250"/>
      <c r="G32" s="1250"/>
      <c r="H32" s="1250"/>
      <c r="I32" s="1250"/>
      <c r="J32" s="1250"/>
      <c r="K32" s="1250"/>
      <c r="L32" s="1382"/>
      <c r="M32" s="1250"/>
      <c r="N32" s="1250"/>
      <c r="O32" s="1250"/>
      <c r="S32" s="2268" t="s">
        <v>43</v>
      </c>
      <c r="T32" s="2268"/>
      <c r="U32" s="1374"/>
      <c r="V32" s="2270" t="str">
        <f>IF(TITLE_IST_PUB_CHANGE="",IF(TITLE_IST_PUB="","",TITLE_IST_PUB),TITLE_IST_PUB_CHANGE)</f>
        <v/>
      </c>
      <c r="W32" s="2270"/>
      <c r="X32" s="2270"/>
      <c r="Y32" s="2270"/>
      <c r="Z32" s="2270"/>
      <c r="AA32" s="2270"/>
      <c r="AB32" s="2270"/>
      <c r="AC32" s="1637"/>
      <c r="AD32" s="2270" t="str">
        <f>IF(TITLE_IST_PUB_CHANGE="",IF(TITLE_IST_PUB="","",TITLE_IST_PUB),TITLE_IST_PUB_CHANGE)</f>
        <v/>
      </c>
      <c r="AE32" s="2270"/>
      <c r="AF32" s="2270"/>
      <c r="AG32" s="2270"/>
      <c r="AH32" s="2270"/>
      <c r="AI32" s="2270"/>
      <c r="AJ32" s="2270"/>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2" customFormat="1" customHeight="1" ht="18.75" hidden="1">
      <c r="A34" s="1250"/>
      <c r="B34" s="1250"/>
      <c r="C34" s="1250"/>
      <c r="D34" s="1250"/>
      <c r="E34" s="1250"/>
      <c r="F34" s="1250"/>
      <c r="G34" s="1250"/>
      <c r="H34" s="1250"/>
      <c r="I34" s="1250"/>
      <c r="J34" s="1250"/>
      <c r="K34" s="1250"/>
      <c r="L34" s="1382"/>
      <c r="M34" s="1250"/>
      <c r="N34" s="1250"/>
      <c r="O34" s="125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1637"/>
      <c r="AD34" s="2269" t="str">
        <f>IF(TITLE_DATE_PR_CHANGE="",IF(TITLE_DATE_PR="","",TITLE_DATE_PR),TITLE_DATE_PR_CHANGE)</f>
        <v/>
      </c>
      <c r="AE34" s="2269"/>
      <c r="AF34" s="2269"/>
      <c r="AG34" s="2269"/>
      <c r="AH34" s="2269"/>
      <c r="AI34" s="2269"/>
      <c r="AJ34" s="2269"/>
      <c r="AK34" s="1637"/>
      <c r="AL34" s="1637"/>
      <c r="AM34" s="282"/>
      <c r="AN34" s="370"/>
      <c r="AO34" s="370"/>
      <c r="AP34" s="370"/>
      <c r="AQ34" s="370"/>
      <c r="AR34" s="370"/>
      <c r="AS34" s="420">
        <v>0</v>
      </c>
    </row>
    <row s="1852" customFormat="1" customHeight="1" ht="18.75" hidden="1">
      <c r="A35" s="1250"/>
      <c r="B35" s="1250"/>
      <c r="C35" s="1250"/>
      <c r="D35" s="1250"/>
      <c r="E35" s="1250"/>
      <c r="F35" s="1250"/>
      <c r="G35" s="1250"/>
      <c r="H35" s="1250"/>
      <c r="I35" s="1250"/>
      <c r="J35" s="1250"/>
      <c r="K35" s="1250"/>
      <c r="L35" s="1382"/>
      <c r="M35" s="1250"/>
      <c r="N35" s="1250"/>
      <c r="O35" s="125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1637"/>
      <c r="AD35" s="2270" t="str">
        <f>IF(TITLE_NUMBER_PR_CHANGE="",IF(TITLE_NUMBER_PR="","",TITLE_NUMBER_PR),TITLE_NUMBER_PR_CHANGE)</f>
        <v/>
      </c>
      <c r="AE35" s="2270"/>
      <c r="AF35" s="2270"/>
      <c r="AG35" s="2270"/>
      <c r="AH35" s="2270"/>
      <c r="AI35" s="2270"/>
      <c r="AJ35" s="2270"/>
      <c r="AK35" s="1637"/>
      <c r="AL35" s="1637"/>
      <c r="AM35" s="282"/>
      <c r="AN35" s="370"/>
      <c r="AO35" s="370"/>
      <c r="AP35" s="370"/>
      <c r="AQ35" s="370"/>
      <c r="AR35" s="370"/>
      <c r="AS35" s="420">
        <v>0</v>
      </c>
    </row>
    <row s="1852" customFormat="1" customHeight="1" ht="0">
      <c r="A36" s="1250"/>
      <c r="B36" s="1250"/>
      <c r="C36" s="1250"/>
      <c r="D36" s="1250"/>
      <c r="E36" s="1250"/>
      <c r="F36" s="1250"/>
      <c r="G36" s="1250"/>
      <c r="H36" s="1250"/>
      <c r="I36" s="1250"/>
      <c r="J36" s="1250"/>
      <c r="K36" s="1250"/>
      <c r="L36" s="1382"/>
      <c r="M36" s="1250"/>
      <c r="N36" s="1250"/>
      <c r="O36" s="1250"/>
      <c r="S36" s="1637"/>
      <c r="T36" s="1637"/>
      <c r="U36" s="1969"/>
      <c r="V36" s="1637"/>
      <c r="W36" s="1637"/>
      <c r="X36" s="1637"/>
      <c r="Y36" s="1637"/>
      <c r="Z36" s="1637"/>
      <c r="AA36" s="1637"/>
      <c r="AB36" s="1637"/>
      <c r="AC36" s="1644" t="s">
        <v>418</v>
      </c>
      <c r="AD36" s="1637"/>
      <c r="AE36" s="1637"/>
      <c r="AF36" s="1637"/>
      <c r="AG36" s="1637"/>
      <c r="AH36" s="1637"/>
      <c r="AI36" s="1637"/>
      <c r="AJ36" s="1637"/>
      <c r="AK36" s="1644" t="s">
        <v>418</v>
      </c>
      <c r="AN36" s="370"/>
      <c r="AO36" s="370"/>
      <c r="AP36" s="370"/>
      <c r="AQ36" s="370"/>
      <c r="AR36" s="370"/>
      <c r="AS36" s="420">
        <v>0</v>
      </c>
    </row>
    <row customHeight="1" ht="14.699999999999998">
      <c r="Q37" s="378"/>
      <c r="R37" s="378"/>
      <c r="S37" s="1277"/>
      <c r="T37" s="459"/>
      <c r="U37" s="1246"/>
      <c r="V37" s="2294"/>
      <c r="W37" s="2294"/>
      <c r="X37" s="2294"/>
      <c r="Y37" s="2294"/>
      <c r="Z37" s="2294"/>
      <c r="AA37" s="2294"/>
      <c r="AB37" s="2294"/>
      <c r="AC37" s="2294"/>
      <c r="AD37" s="2294"/>
      <c r="AE37" s="2294"/>
      <c r="AF37" s="2294"/>
      <c r="AG37" s="2294"/>
      <c r="AH37" s="2294"/>
      <c r="AI37" s="2294"/>
      <c r="AJ37" s="2294"/>
      <c r="AK37" s="2294"/>
      <c r="AS37" s="1633">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633">
        <v>14</v>
      </c>
    </row>
    <row customHeight="1" ht="14.699999999999998">
      <c r="Q39" s="378"/>
      <c r="R39" s="378"/>
      <c r="S39" s="2295" t="s">
        <v>88</v>
      </c>
      <c r="T39" s="2232" t="s">
        <v>419</v>
      </c>
      <c r="U39" s="339"/>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633">
        <v>14</v>
      </c>
    </row>
    <row customHeight="1" ht="35.699999999999996">
      <c r="Q40" s="378"/>
      <c r="R40" s="378"/>
      <c r="S40" s="2295"/>
      <c r="T40" s="2232"/>
      <c r="U40" s="1033"/>
      <c r="V40" s="2305" t="s">
        <v>424</v>
      </c>
      <c r="W40" s="2286" t="s">
        <v>425</v>
      </c>
      <c r="X40" s="2288" t="s">
        <v>426</v>
      </c>
      <c r="Y40" s="2290"/>
      <c r="Z40" s="2288" t="s">
        <v>440</v>
      </c>
      <c r="AA40" s="2289"/>
      <c r="AB40" s="2290"/>
      <c r="AC40" s="2300"/>
      <c r="AD40" s="2305" t="s">
        <v>424</v>
      </c>
      <c r="AE40" s="2286" t="s">
        <v>425</v>
      </c>
      <c r="AF40" s="2288" t="s">
        <v>426</v>
      </c>
      <c r="AG40" s="2290"/>
      <c r="AH40" s="2288" t="s">
        <v>427</v>
      </c>
      <c r="AI40" s="2289"/>
      <c r="AJ40" s="2290"/>
      <c r="AK40" s="2300"/>
      <c r="AL40" s="2303"/>
      <c r="AM40" s="2140"/>
      <c r="AS40" s="1633">
        <v>34</v>
      </c>
    </row>
    <row customHeight="1" ht="35.699999999999996">
      <c r="A41" s="1268"/>
      <c r="B41" s="1268" t="s">
        <v>132</v>
      </c>
      <c r="C41" s="1268" t="s">
        <v>133</v>
      </c>
      <c r="D41" s="1268" t="s">
        <v>134</v>
      </c>
      <c r="E41" s="1312" t="s">
        <v>428</v>
      </c>
      <c r="F41" s="1312" t="s">
        <v>429</v>
      </c>
      <c r="G41" s="1312" t="s">
        <v>430</v>
      </c>
      <c r="H41" s="1312" t="s">
        <v>431</v>
      </c>
      <c r="I41" s="1312" t="s">
        <v>432</v>
      </c>
      <c r="J41" s="1312" t="s">
        <v>433</v>
      </c>
      <c r="K41" s="1312" t="s">
        <v>434</v>
      </c>
      <c r="L41" s="1312" t="s">
        <v>413</v>
      </c>
      <c r="Q41" s="378"/>
      <c r="R41" s="378"/>
      <c r="S41" s="2295"/>
      <c r="T41" s="2232"/>
      <c r="U41" s="304"/>
      <c r="V41" s="2306"/>
      <c r="W41" s="2287"/>
      <c r="X41" s="1937" t="s">
        <v>435</v>
      </c>
      <c r="Y41" s="1937" t="s">
        <v>436</v>
      </c>
      <c r="Z41" s="1937" t="s">
        <v>437</v>
      </c>
      <c r="AA41" s="2291" t="s">
        <v>438</v>
      </c>
      <c r="AB41" s="2292"/>
      <c r="AC41" s="2301"/>
      <c r="AD41" s="2306"/>
      <c r="AE41" s="2287"/>
      <c r="AF41" s="1937" t="s">
        <v>435</v>
      </c>
      <c r="AG41" s="1937" t="s">
        <v>436</v>
      </c>
      <c r="AH41" s="1937" t="s">
        <v>437</v>
      </c>
      <c r="AI41" s="2291" t="s">
        <v>438</v>
      </c>
      <c r="AJ41" s="2292"/>
      <c r="AK41" s="2301"/>
      <c r="AL41" s="2304"/>
      <c r="AM41" s="2140"/>
      <c r="AS41" s="1633">
        <v>34</v>
      </c>
    </row>
    <row s="1643" customFormat="1" customHeight="1" ht="11.25" hidden="1">
      <c r="A42" s="1268"/>
      <c r="B42" s="1268"/>
      <c r="C42" s="1268"/>
      <c r="D42" s="1268"/>
      <c r="E42" s="1268"/>
      <c r="F42" s="1268"/>
      <c r="G42" s="1268"/>
      <c r="H42" s="1268"/>
      <c r="I42" s="1268"/>
      <c r="J42" s="1268"/>
      <c r="K42" s="1268"/>
      <c r="L42" s="1312"/>
      <c r="M42" s="1964"/>
      <c r="N42" s="1964"/>
      <c r="O42" s="1964"/>
      <c r="P42" s="1248"/>
      <c r="Q42" s="1249"/>
      <c r="R42" s="1256">
        <v>1</v>
      </c>
      <c r="S42" s="1279" t="s">
        <v>106</v>
      </c>
      <c r="T42" s="1257" t="s">
        <v>107</v>
      </c>
      <c r="U42" s="1247" t="str">
        <f>OFFSET(U42,0,-1)</f>
        <v>2</v>
      </c>
      <c r="V42" s="1955">
        <f>OFFSET(V42,0,-1)+1</f>
        <v>3</v>
      </c>
      <c r="W42" s="1955"/>
      <c r="X42" s="1955">
        <f>OFFSET(X42,0,-1)+1</f>
        <v>1</v>
      </c>
      <c r="Y42" s="1955">
        <f>OFFSET(Y42,0,-1)+1</f>
        <v>2</v>
      </c>
      <c r="Z42" s="1955">
        <f>OFFSET(Z42,0,-1)+1</f>
        <v>3</v>
      </c>
      <c r="AA42" s="2293">
        <f>OFFSET(AA42,0,-1)+1</f>
        <v>4</v>
      </c>
      <c r="AB42" s="2293"/>
      <c r="AC42" s="1955">
        <f>OFFSET(AC42,0,-2)+1</f>
        <v>5</v>
      </c>
      <c r="AD42" s="1955">
        <f>OFFSET(AD42,0,-1)+1</f>
        <v>6</v>
      </c>
      <c r="AE42" s="1955"/>
      <c r="AF42" s="1955">
        <f>OFFSET(AF42,0,-1)+1</f>
        <v>1</v>
      </c>
      <c r="AG42" s="1955">
        <f>OFFSET(AG42,0,-1)+1</f>
        <v>2</v>
      </c>
      <c r="AH42" s="1955">
        <f>OFFSET(AH42,0,-1)+1</f>
        <v>3</v>
      </c>
      <c r="AI42" s="2293">
        <f>OFFSET(AI42,0,-1)+1</f>
        <v>4</v>
      </c>
      <c r="AJ42" s="2293"/>
      <c r="AK42" s="1955">
        <f>OFFSET(AK42,0,-2)+1</f>
        <v>5</v>
      </c>
      <c r="AL42" s="1247">
        <f>OFFSET(AL42,0,-1)</f>
        <v>5</v>
      </c>
      <c r="AM42" s="1955">
        <f>OFFSET(AM42,0,-1)+1</f>
        <v>6</v>
      </c>
      <c r="AN42" s="1638"/>
      <c r="AO42" s="1638"/>
      <c r="AP42" s="1638"/>
      <c r="AQ42" s="1638"/>
      <c r="AR42" s="1638"/>
      <c r="AS42" s="1643">
        <v>0</v>
      </c>
    </row>
    <row customHeight="1" ht="22.049999999999997">
      <c r="A43" s="1269" t="s">
        <v>207</v>
      </c>
      <c r="B43" s="1269"/>
      <c r="C43" s="1269"/>
      <c r="D43" s="1269"/>
      <c r="E43" s="2312">
        <v>1</v>
      </c>
      <c r="F43" s="1269"/>
      <c r="G43" s="1269"/>
      <c r="H43" s="1269"/>
      <c r="I43" s="1269"/>
      <c r="J43" s="1269"/>
      <c r="K43" s="1269"/>
      <c r="L43" s="1312"/>
      <c r="M43" s="1612"/>
      <c r="N43" s="1612"/>
      <c r="O43" s="1612"/>
      <c r="P43" s="1592"/>
      <c r="Q43" s="362"/>
      <c r="R43" s="357"/>
      <c r="S43" s="1957">
        <f>INDEX(PT_DIFFERENTIATION_NUM_NTAR,MATCH(A43,PT_DIFFERENTIATION_NTAR_ID,0))</f>
        <v>0</v>
      </c>
      <c r="T43" s="1527"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207</v>
      </c>
      <c r="B44" s="1269" t="s">
        <v>208</v>
      </c>
      <c r="C44" s="1269"/>
      <c r="D44" s="1269"/>
      <c r="E44" s="2313"/>
      <c r="F44" s="2312">
        <v>1</v>
      </c>
      <c r="G44" s="1269"/>
      <c r="H44" s="1269"/>
      <c r="I44" s="1269"/>
      <c r="J44" s="1269"/>
      <c r="K44" s="1269"/>
      <c r="L44" s="1312"/>
      <c r="M44" s="1612"/>
      <c r="N44" s="1612"/>
      <c r="O44" s="1612"/>
      <c r="P44" s="1939"/>
      <c r="Q44" s="354"/>
      <c r="R44" s="355"/>
      <c r="S44" s="1957" t="str">
        <f>INDEX(PT_DIFFERENTIATION_NUM_TER,MATCH(B44,PT_DIFFERENTIATION_TER_ID,0))</f>
        <v>.</v>
      </c>
      <c r="T44" s="1524"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1626"/>
      <c r="AP44" s="1626" t="str">
        <f>IF(T44="","",T44)</f>
        <v>Территория действия тарифа</v>
      </c>
      <c r="AQ44" s="1626"/>
      <c r="AR44" s="1626"/>
      <c r="AS44" s="1633">
        <v>21</v>
      </c>
    </row>
    <row customHeight="1" ht="24">
      <c r="A45" s="1269" t="s">
        <v>207</v>
      </c>
      <c r="B45" s="1269" t="s">
        <v>208</v>
      </c>
      <c r="C45" s="1269" t="s">
        <v>209</v>
      </c>
      <c r="D45" s="1269"/>
      <c r="E45" s="2313"/>
      <c r="F45" s="2313"/>
      <c r="G45" s="2312">
        <v>1</v>
      </c>
      <c r="H45" s="1269"/>
      <c r="I45" s="1269"/>
      <c r="J45" s="1269"/>
      <c r="K45" s="1269"/>
      <c r="L45" s="1312"/>
      <c r="M45" s="1612"/>
      <c r="N45" s="1612"/>
      <c r="O45" s="1612"/>
      <c r="P45" s="356"/>
      <c r="Q45" s="354"/>
      <c r="R45" s="355"/>
      <c r="S45" s="1957"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1626"/>
      <c r="AP45" s="1626" t="str">
        <f>IF(T45="","",T45)</f>
        <v>Наименование системы теплоснабжения </v>
      </c>
      <c r="AQ45" s="1626"/>
      <c r="AR45" s="1626"/>
      <c r="AS45" s="1633">
        <v>23</v>
      </c>
    </row>
    <row customHeight="1" ht="22.049999999999997">
      <c r="A46" s="1269" t="s">
        <v>207</v>
      </c>
      <c r="B46" s="1269" t="s">
        <v>208</v>
      </c>
      <c r="C46" s="1269" t="s">
        <v>209</v>
      </c>
      <c r="D46" s="1269" t="s">
        <v>210</v>
      </c>
      <c r="E46" s="2313"/>
      <c r="F46" s="2313"/>
      <c r="G46" s="2313"/>
      <c r="H46" s="2312">
        <v>1</v>
      </c>
      <c r="I46" s="1269"/>
      <c r="J46" s="1269"/>
      <c r="K46" s="1269"/>
      <c r="L46" s="1312"/>
      <c r="M46" s="1612"/>
      <c r="N46" s="1612"/>
      <c r="O46" s="1612"/>
      <c r="P46" s="356"/>
      <c r="Q46" s="354"/>
      <c r="R46" s="355"/>
      <c r="S46" s="1957"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1626"/>
      <c r="AP46" s="1626" t="str">
        <f>IF(T46="","",T46)</f>
        <v>Источник тепловой энергии  </v>
      </c>
      <c r="AQ46" s="1626"/>
      <c r="AR46" s="1626"/>
      <c r="AS46" s="1633">
        <v>21</v>
      </c>
    </row>
    <row customHeight="1" ht="49.5">
      <c r="A47" s="1269" t="s">
        <v>207</v>
      </c>
      <c r="B47" s="1269" t="s">
        <v>208</v>
      </c>
      <c r="C47" s="1269" t="s">
        <v>209</v>
      </c>
      <c r="D47" s="1269" t="s">
        <v>210</v>
      </c>
      <c r="E47" s="2313"/>
      <c r="F47" s="2313"/>
      <c r="G47" s="2313"/>
      <c r="H47" s="2313"/>
      <c r="I47" s="2140" t="str">
        <f>S46&amp;".1"</f>
        <v>....1</v>
      </c>
      <c r="J47" s="1269"/>
      <c r="K47" s="1269"/>
      <c r="L47" s="1312" t="s">
        <v>398</v>
      </c>
      <c r="P47" s="2281">
        <v>1</v>
      </c>
      <c r="Q47" s="1953"/>
      <c r="R47" s="358"/>
      <c r="S47" s="1957" t="str">
        <f>$I47</f>
        <v>....1</v>
      </c>
      <c r="T47" s="287" t="s">
        <v>399</v>
      </c>
      <c r="U47" s="302"/>
      <c r="V47" s="2265"/>
      <c r="W47" s="2266"/>
      <c r="X47" s="2266"/>
      <c r="Y47" s="2266"/>
      <c r="Z47" s="2266"/>
      <c r="AA47" s="2266"/>
      <c r="AB47" s="2266"/>
      <c r="AC47" s="2267"/>
      <c r="AD47" s="2265"/>
      <c r="AE47" s="2266"/>
      <c r="AF47" s="2266"/>
      <c r="AG47" s="2266"/>
      <c r="AH47" s="2266"/>
      <c r="AI47" s="2266"/>
      <c r="AJ47" s="2266"/>
      <c r="AK47" s="2266"/>
      <c r="AL47" s="2267"/>
      <c r="AM47" s="1260" t="s">
        <v>400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207</v>
      </c>
      <c r="B48" s="1269" t="s">
        <v>208</v>
      </c>
      <c r="C48" s="1269" t="s">
        <v>209</v>
      </c>
      <c r="D48" s="1269" t="s">
        <v>210</v>
      </c>
      <c r="E48" s="2313"/>
      <c r="F48" s="2313"/>
      <c r="G48" s="2313"/>
      <c r="H48" s="2313"/>
      <c r="I48" s="2124"/>
      <c r="J48" s="2140" t="str">
        <f>I47&amp;".1"</f>
        <v>....1.1</v>
      </c>
      <c r="K48" s="1269"/>
      <c r="L48" s="1312" t="s">
        <v>401</v>
      </c>
      <c r="P48" s="2281"/>
      <c r="Q48" s="2281">
        <v>1</v>
      </c>
      <c r="R48" s="359"/>
      <c r="S48" s="1957" t="str">
        <f>$J48</f>
        <v>....1.1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1626"/>
      <c r="AP48" s="1626" t="str">
        <f>IF(T48="","",T48)</f>
        <v>Группа потребителей</v>
      </c>
      <c r="AQ48" s="1626"/>
      <c r="AR48" s="1626"/>
      <c r="AS48" s="1633">
        <v>21</v>
      </c>
    </row>
    <row customHeight="1" ht="22.049999999999997">
      <c r="A49" s="1269" t="s">
        <v>207</v>
      </c>
      <c r="B49" s="1269" t="s">
        <v>208</v>
      </c>
      <c r="C49" s="1269" t="s">
        <v>209</v>
      </c>
      <c r="D49" s="1269" t="s">
        <v>210</v>
      </c>
      <c r="E49" s="2313"/>
      <c r="F49" s="2313"/>
      <c r="G49" s="2313"/>
      <c r="H49" s="2313"/>
      <c r="I49" s="2124"/>
      <c r="J49" s="2124"/>
      <c r="K49" s="2140" t="str">
        <f>J48&amp;".1"</f>
        <v>....1.1.1</v>
      </c>
      <c r="L49" s="1312" t="s">
        <v>404</v>
      </c>
      <c r="P49" s="2281"/>
      <c r="Q49" s="2281"/>
      <c r="R49" s="359">
        <v>1</v>
      </c>
      <c r="S49" s="1957" t="str">
        <f>$K49</f>
        <v>....1.1.1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405</v>
      </c>
      <c r="AN49" s="1638">
        <f>STRCHECKDATE(V50:AL50)</f>
      </c>
      <c r="AO49" s="1626"/>
      <c r="AP49" s="1626" t="str">
        <f>IF(T49="","",T49)</f>
        <v/>
      </c>
      <c r="AQ49" s="1626"/>
      <c r="AR49" s="1626"/>
      <c r="AS49" s="1633">
        <v>21</v>
      </c>
    </row>
    <row customHeight="1" ht="1.05">
      <c r="A50" s="1269" t="s">
        <v>207</v>
      </c>
      <c r="B50" s="1269" t="s">
        <v>208</v>
      </c>
      <c r="C50" s="1269" t="s">
        <v>209</v>
      </c>
      <c r="D50" s="1269" t="s">
        <v>210</v>
      </c>
      <c r="E50" s="2313"/>
      <c r="F50" s="2313"/>
      <c r="G50" s="2313"/>
      <c r="H50" s="2313"/>
      <c r="I50" s="2124"/>
      <c r="J50" s="2124"/>
      <c r="K50" s="2140"/>
      <c r="L50" s="1312"/>
      <c r="P50" s="2281"/>
      <c r="Q50" s="2281"/>
      <c r="R50" s="359"/>
      <c r="S50" s="1966"/>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1626"/>
      <c r="AP50" s="1626" t="str">
        <f>IF(T50="","",T50)</f>
        <v/>
      </c>
      <c r="AQ50" s="1626"/>
      <c r="AR50" s="1626"/>
      <c r="AS50" s="1633">
        <v>1</v>
      </c>
    </row>
    <row customHeight="1" ht="11.549999999999999">
      <c r="A51" s="1269" t="s">
        <v>207</v>
      </c>
      <c r="B51" s="1269" t="s">
        <v>208</v>
      </c>
      <c r="C51" s="1269" t="s">
        <v>209</v>
      </c>
      <c r="D51" s="1269" t="s">
        <v>210</v>
      </c>
      <c r="E51" s="2313"/>
      <c r="F51" s="2313"/>
      <c r="G51" s="2313"/>
      <c r="H51" s="2313"/>
      <c r="I51" s="2124"/>
      <c r="J51" s="2140"/>
      <c r="K51" s="1269"/>
      <c r="L51" s="1312"/>
      <c r="P51" s="2281"/>
      <c r="Q51" s="2281"/>
      <c r="R51" s="358"/>
      <c r="S51" s="1280"/>
      <c r="T51" s="290" t="s">
        <v>406</v>
      </c>
      <c r="U51" s="602"/>
      <c r="V51" s="602"/>
      <c r="W51" s="602"/>
      <c r="X51" s="602"/>
      <c r="Y51" s="602"/>
      <c r="Z51" s="602"/>
      <c r="AA51" s="602"/>
      <c r="AB51" s="602"/>
      <c r="AC51" s="602"/>
      <c r="AD51" s="602"/>
      <c r="AE51" s="602"/>
      <c r="AF51" s="602"/>
      <c r="AG51" s="602"/>
      <c r="AH51" s="602"/>
      <c r="AI51" s="602"/>
      <c r="AJ51" s="602"/>
      <c r="AK51" s="602"/>
      <c r="AL51" s="326"/>
      <c r="AM51" s="2309"/>
      <c r="AO51" s="1626"/>
      <c r="AP51" s="1626" t="str">
        <f>IF(T51="","",T51)</f>
        <v>Добавить вид теплоносителя (параметры теплоносителя)</v>
      </c>
      <c r="AQ51" s="1626"/>
      <c r="AR51" s="1626"/>
      <c r="AS51" s="1633">
        <v>11</v>
      </c>
    </row>
    <row customHeight="1" ht="11.549999999999999">
      <c r="A52" s="1269" t="s">
        <v>207</v>
      </c>
      <c r="B52" s="1269" t="s">
        <v>208</v>
      </c>
      <c r="C52" s="1269" t="s">
        <v>209</v>
      </c>
      <c r="D52" s="1269" t="s">
        <v>210</v>
      </c>
      <c r="E52" s="2313"/>
      <c r="F52" s="2313"/>
      <c r="G52" s="2313"/>
      <c r="H52" s="2313"/>
      <c r="I52" s="2140"/>
      <c r="J52" s="1269"/>
      <c r="K52" s="1269"/>
      <c r="L52" s="1312"/>
      <c r="P52" s="2281"/>
      <c r="Q52" s="1953"/>
      <c r="R52" s="358"/>
      <c r="S52" s="1280"/>
      <c r="T52" s="289" t="s">
        <v>407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207</v>
      </c>
      <c r="B53" s="1269" t="s">
        <v>208</v>
      </c>
      <c r="C53" s="1269" t="s">
        <v>209</v>
      </c>
      <c r="D53" s="1269" t="s">
        <v>210</v>
      </c>
      <c r="E53" s="2313"/>
      <c r="F53" s="2313"/>
      <c r="G53" s="2313"/>
      <c r="H53" s="2312"/>
      <c r="I53" s="1269"/>
      <c r="J53" s="1269"/>
      <c r="K53" s="1269"/>
      <c r="L53" s="1312"/>
      <c r="M53" s="1612"/>
      <c r="N53" s="1612"/>
      <c r="O53" s="1637"/>
      <c r="P53" s="362"/>
      <c r="Q53" s="377"/>
      <c r="R53" s="357"/>
      <c r="S53" s="1280"/>
      <c r="T53" s="367" t="s">
        <v>408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207</v>
      </c>
      <c r="B54" s="1377" t="s">
        <v>208</v>
      </c>
      <c r="C54" s="1377" t="s">
        <v>209</v>
      </c>
      <c r="D54" s="1376"/>
      <c r="E54" s="2313"/>
      <c r="F54" s="2313"/>
      <c r="G54" s="2312"/>
      <c r="H54" s="1376"/>
      <c r="I54" s="1376"/>
      <c r="J54" s="1376"/>
      <c r="K54" s="1376"/>
      <c r="L54" s="1379"/>
      <c r="M54" s="1380"/>
      <c r="N54" s="1380"/>
      <c r="O54" s="353"/>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207</v>
      </c>
      <c r="B55" s="1377" t="s">
        <v>208</v>
      </c>
      <c r="C55" s="1376"/>
      <c r="D55" s="1376"/>
      <c r="E55" s="2313"/>
      <c r="F55" s="2312"/>
      <c r="G55" s="1376"/>
      <c r="H55" s="1376"/>
      <c r="I55" s="1376"/>
      <c r="J55" s="1376"/>
      <c r="K55" s="1376"/>
      <c r="L55" s="1379"/>
      <c r="M55" s="1381"/>
      <c r="N55" s="1381"/>
      <c r="O55" s="35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207</v>
      </c>
      <c r="B56" s="1377"/>
      <c r="C56" s="1377"/>
      <c r="D56" s="1377"/>
      <c r="E56" s="2312"/>
      <c r="F56" s="1377"/>
      <c r="G56" s="1377"/>
      <c r="H56" s="1377"/>
      <c r="I56" s="1377"/>
      <c r="J56" s="1377"/>
      <c r="K56" s="1377"/>
      <c r="L56" s="1383"/>
      <c r="M56" s="1381"/>
      <c r="N56" s="1381"/>
      <c r="O56" s="353"/>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633">
        <v>27</v>
      </c>
    </row>
    <row customHeight="1" ht="65.25">
      <c r="O60" s="1637"/>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633">
        <v>62</v>
      </c>
    </row>
    <row customHeight="1" ht="14.699999999999998">
      <c r="O61" s="1637"/>
      <c r="AS61" s="1633">
        <v>14</v>
      </c>
    </row>
    <row customHeight="1" ht="18.75">
      <c r="O62" s="1637"/>
      <c r="S62" s="1255"/>
      <c r="T62" s="2276"/>
      <c r="U62" s="2276"/>
      <c r="V62" s="2276"/>
      <c r="W62" s="2276"/>
      <c r="X62" s="2276"/>
      <c r="Y62" s="2276"/>
      <c r="Z62" s="2276"/>
      <c r="AA62" s="2276"/>
      <c r="AB62" s="2276"/>
      <c r="AC62" s="2276"/>
      <c r="AD62" s="2276"/>
      <c r="AE62" s="2276"/>
      <c r="AF62" s="2276"/>
      <c r="AG62" s="2276"/>
      <c r="AH62" s="2276"/>
      <c r="AI62" s="2276"/>
      <c r="AJ62" s="2276"/>
      <c r="AK62" s="2276"/>
      <c r="AL62" s="2276"/>
      <c r="AM62" s="2276"/>
      <c r="AS62" s="1633">
        <v>18</v>
      </c>
    </row>
    <row customHeight="1" ht="18.75">
      <c r="O63" s="1637"/>
      <c r="T63" s="2276"/>
      <c r="U63" s="2276"/>
      <c r="V63" s="2276"/>
      <c r="W63" s="2276"/>
      <c r="X63" s="2276"/>
      <c r="Y63" s="2276"/>
      <c r="Z63" s="2276"/>
      <c r="AA63" s="2276"/>
      <c r="AB63" s="2276"/>
      <c r="AC63" s="2276"/>
      <c r="AD63" s="2276"/>
      <c r="AE63" s="2276"/>
      <c r="AF63" s="2276"/>
      <c r="AG63" s="2276"/>
      <c r="AH63" s="2276"/>
      <c r="AI63" s="2276"/>
      <c r="AJ63" s="2276"/>
      <c r="AK63" s="2276"/>
      <c r="AL63" s="2276"/>
      <c r="AM63" s="2276"/>
      <c r="AS63" s="1633">
        <v>18</v>
      </c>
    </row>
    <row customHeight="1" ht="29.25">
      <c r="O64" s="1637"/>
      <c r="S64" s="1255"/>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38">
        <v>0</v>
      </c>
      <c r="M65" s="1964">
        <v>0</v>
      </c>
      <c r="N65" s="1964">
        <v>0</v>
      </c>
      <c r="O65" s="1964">
        <v>0</v>
      </c>
      <c r="P65" s="1964">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BCD548-E288-F393-5D29-AACA178CA1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38" width="19.140625" hidden="1" customWidth="1"/>
    <col min="13" max="14" style="2420" width="12.28125" hidden="1" customWidth="1"/>
    <col min="15" max="15" style="2420" width="23.421875" hidden="1" customWidth="1"/>
    <col min="16" max="16" style="2420" width="3.00390625" customWidth="1"/>
    <col min="17" max="18" style="346" width="3.00390625" customWidth="1"/>
    <col min="19" max="19" style="2433"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312">
        <v>1</v>
      </c>
      <c r="F2" s="1269"/>
      <c r="G2" s="1269"/>
      <c r="H2" s="1269"/>
      <c r="I2" s="1269"/>
      <c r="J2" s="1269"/>
      <c r="K2" s="1269"/>
      <c r="L2" s="1312"/>
      <c r="M2" s="1612"/>
      <c r="N2" s="1612"/>
      <c r="O2" s="1612"/>
      <c r="P2" s="1592"/>
      <c r="Q2" s="362"/>
      <c r="R2" s="357"/>
      <c r="S2" s="1957">
        <f>INDEX(PT_DIFFERENTIATION_NUM_NTAR,MATCH(A2,PT_DIFFERENTIATION_NTAR_ID,0))</f>
      </c>
      <c r="T2" s="1527"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1626"/>
      <c r="AP2" s="1626" t="str">
        <f>IF(T2="","",T2)</f>
        <v>Наименование тарифа</v>
      </c>
      <c r="AQ2" s="1626"/>
      <c r="AR2" s="1626"/>
      <c r="AS2" s="1633">
        <v>0</v>
      </c>
    </row>
    <row customHeight="1" ht="21" hidden="1">
      <c r="A3" s="1269"/>
      <c r="B3" s="1269"/>
      <c r="C3" s="1269"/>
      <c r="D3" s="1269"/>
      <c r="E3" s="2313"/>
      <c r="F3" s="2312">
        <v>1</v>
      </c>
      <c r="G3" s="1269"/>
      <c r="H3" s="1269"/>
      <c r="I3" s="1269"/>
      <c r="J3" s="1269"/>
      <c r="K3" s="1269"/>
      <c r="L3" s="1312"/>
      <c r="M3" s="1612"/>
      <c r="N3" s="1612"/>
      <c r="O3" s="1612"/>
      <c r="P3" s="1939"/>
      <c r="Q3" s="354"/>
      <c r="R3" s="355"/>
      <c r="S3" s="1957">
        <f>INDEX(PT_DIFFERENTIATION_NUM_TER,MATCH(B3,PT_DIFFERENTIATION_TER_ID,0))</f>
      </c>
      <c r="T3" s="1524"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1626"/>
      <c r="AP3" s="1626" t="str">
        <f>IF(T3="","",T3)</f>
        <v>Территория действия тарифа</v>
      </c>
      <c r="AQ3" s="1626"/>
      <c r="AR3" s="1626"/>
      <c r="AS3" s="1633">
        <v>0</v>
      </c>
    </row>
    <row customHeight="1" ht="23.25" hidden="1">
      <c r="A4" s="1269"/>
      <c r="B4" s="1269"/>
      <c r="C4" s="1269"/>
      <c r="D4" s="1269"/>
      <c r="E4" s="2313"/>
      <c r="F4" s="2313"/>
      <c r="G4" s="2312">
        <v>1</v>
      </c>
      <c r="H4" s="1269"/>
      <c r="I4" s="1269"/>
      <c r="J4" s="1269"/>
      <c r="K4" s="1269"/>
      <c r="L4" s="1312"/>
      <c r="M4" s="1612"/>
      <c r="N4" s="1612"/>
      <c r="O4" s="1612"/>
      <c r="P4" s="356"/>
      <c r="Q4" s="354"/>
      <c r="R4" s="355"/>
      <c r="S4" s="1957">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1626"/>
      <c r="AP4" s="1626" t="str">
        <f>IF(T4="","",T4)</f>
        <v>Наименование системы теплоснабжения </v>
      </c>
      <c r="AQ4" s="1626"/>
      <c r="AR4" s="1626"/>
      <c r="AS4" s="1633">
        <v>0</v>
      </c>
    </row>
    <row customHeight="1" ht="21" hidden="1">
      <c r="A5" s="1269"/>
      <c r="B5" s="1269"/>
      <c r="C5" s="1269"/>
      <c r="D5" s="1269"/>
      <c r="E5" s="2313"/>
      <c r="F5" s="2313"/>
      <c r="G5" s="2313"/>
      <c r="H5" s="2312">
        <v>1</v>
      </c>
      <c r="I5" s="1269"/>
      <c r="J5" s="1269"/>
      <c r="K5" s="1269"/>
      <c r="L5" s="1312"/>
      <c r="M5" s="1612"/>
      <c r="N5" s="1612"/>
      <c r="O5" s="1612"/>
      <c r="P5" s="356"/>
      <c r="Q5" s="354"/>
      <c r="R5" s="355"/>
      <c r="S5" s="1957">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1626"/>
      <c r="AP5" s="1626" t="str">
        <f>IF(T5="","",T5)</f>
        <v>Источник тепловой энергии  </v>
      </c>
      <c r="AQ5" s="1626"/>
      <c r="AR5" s="1626"/>
      <c r="AS5" s="1633">
        <v>0</v>
      </c>
    </row>
    <row customHeight="1" ht="47.25" hidden="1">
      <c r="A6" s="1269"/>
      <c r="B6" s="1269"/>
      <c r="C6" s="1269"/>
      <c r="D6" s="1269"/>
      <c r="E6" s="2313"/>
      <c r="F6" s="2313"/>
      <c r="G6" s="2313"/>
      <c r="H6" s="2313"/>
      <c r="I6" s="2140">
        <f>S5&amp;".1"</f>
      </c>
      <c r="J6" s="1269"/>
      <c r="K6" s="1269"/>
      <c r="L6" s="1312" t="s">
        <v>398</v>
      </c>
      <c r="M6" s="1637"/>
      <c r="P6" s="2281">
        <v>1</v>
      </c>
      <c r="Q6" s="1953"/>
      <c r="R6" s="358"/>
      <c r="S6" s="1957">
        <f>$I6</f>
      </c>
      <c r="T6" s="287" t="s">
        <v>399</v>
      </c>
      <c r="U6" s="302"/>
      <c r="V6" s="2265"/>
      <c r="W6" s="2266"/>
      <c r="X6" s="2266"/>
      <c r="Y6" s="2266"/>
      <c r="Z6" s="2266"/>
      <c r="AA6" s="2266"/>
      <c r="AB6" s="2266"/>
      <c r="AC6" s="2267"/>
      <c r="AD6" s="2265"/>
      <c r="AE6" s="2266"/>
      <c r="AF6" s="2266"/>
      <c r="AG6" s="2266"/>
      <c r="AH6" s="2266"/>
      <c r="AI6" s="2266"/>
      <c r="AJ6" s="2266"/>
      <c r="AK6" s="2266"/>
      <c r="AL6" s="2267"/>
      <c r="AM6" s="1260" t="s">
        <v>400</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313"/>
      <c r="F7" s="2313"/>
      <c r="G7" s="2313"/>
      <c r="H7" s="2313"/>
      <c r="I7" s="2124"/>
      <c r="J7" s="2140">
        <f>I6&amp;".1"</f>
      </c>
      <c r="K7" s="1269"/>
      <c r="L7" s="1312" t="s">
        <v>401</v>
      </c>
      <c r="M7" s="1637"/>
      <c r="N7" s="1633"/>
      <c r="P7" s="2281"/>
      <c r="Q7" s="2281">
        <v>1</v>
      </c>
      <c r="R7" s="359"/>
      <c r="S7" s="1957">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1626"/>
      <c r="AP7" s="1626" t="str">
        <f>IF(T7="","",T7)</f>
        <v>Группа потребителей</v>
      </c>
      <c r="AQ7" s="1626"/>
      <c r="AR7" s="1626"/>
      <c r="AS7" s="1633">
        <v>0</v>
      </c>
    </row>
    <row customHeight="1" ht="21" hidden="1">
      <c r="A8" s="1269"/>
      <c r="B8" s="1269"/>
      <c r="C8" s="1269"/>
      <c r="D8" s="1269"/>
      <c r="E8" s="2313"/>
      <c r="F8" s="2313"/>
      <c r="G8" s="2313"/>
      <c r="H8" s="2313"/>
      <c r="I8" s="2124"/>
      <c r="J8" s="2124"/>
      <c r="K8" s="2140">
        <f>J7&amp;".1"</f>
      </c>
      <c r="L8" s="1312" t="s">
        <v>404</v>
      </c>
      <c r="M8" s="1637"/>
      <c r="N8" s="1633"/>
      <c r="O8" s="1633"/>
      <c r="P8" s="2281"/>
      <c r="Q8" s="2281"/>
      <c r="R8" s="359">
        <v>1</v>
      </c>
      <c r="S8" s="1957">
        <f>$K8</f>
      </c>
      <c r="T8" s="1349"/>
      <c r="U8" s="302"/>
      <c r="V8" s="753"/>
      <c r="W8" s="327"/>
      <c r="X8" s="753"/>
      <c r="Y8" s="1259"/>
      <c r="Z8" s="2282"/>
      <c r="AA8" s="2150" t="s">
        <v>65</v>
      </c>
      <c r="AB8" s="2282"/>
      <c r="AC8" s="2150" t="s">
        <v>65</v>
      </c>
      <c r="AD8" s="753"/>
      <c r="AE8" s="327"/>
      <c r="AF8" s="753"/>
      <c r="AG8" s="1259"/>
      <c r="AH8" s="2282"/>
      <c r="AI8" s="2150" t="s">
        <v>65</v>
      </c>
      <c r="AJ8" s="2282"/>
      <c r="AK8" s="2150" t="s">
        <v>65</v>
      </c>
      <c r="AL8" s="327"/>
      <c r="AM8" s="2307" t="s">
        <v>405</v>
      </c>
      <c r="AN8" s="1638">
        <f>STRCHECKDATE(V9:AL9)</f>
      </c>
      <c r="AO8" s="1626"/>
      <c r="AP8" s="1626" t="str">
        <f>IF(T8="","",T8)</f>
        <v/>
      </c>
      <c r="AQ8" s="1626"/>
      <c r="AR8" s="1626"/>
      <c r="AS8" s="1633">
        <v>0</v>
      </c>
    </row>
    <row customHeight="1" ht="0.75" hidden="1">
      <c r="A9" s="1269"/>
      <c r="B9" s="1269"/>
      <c r="C9" s="1269"/>
      <c r="D9" s="1269"/>
      <c r="E9" s="2313"/>
      <c r="F9" s="2313"/>
      <c r="G9" s="2313"/>
      <c r="H9" s="2313"/>
      <c r="I9" s="2124"/>
      <c r="J9" s="2124"/>
      <c r="K9" s="2140"/>
      <c r="L9" s="1312"/>
      <c r="M9" s="1637"/>
      <c r="N9" s="1633"/>
      <c r="O9" s="1633"/>
      <c r="P9" s="2281"/>
      <c r="Q9" s="2281"/>
      <c r="R9" s="359"/>
      <c r="S9" s="1966"/>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1626"/>
      <c r="AP9" s="1626" t="str">
        <f>IF(T9="","",T9)</f>
        <v/>
      </c>
      <c r="AQ9" s="1626"/>
      <c r="AR9" s="1626"/>
      <c r="AS9" s="1633">
        <v>0</v>
      </c>
    </row>
    <row customHeight="1" ht="15" hidden="1">
      <c r="A10" s="1269"/>
      <c r="B10" s="1269"/>
      <c r="C10" s="1269"/>
      <c r="D10" s="1269"/>
      <c r="E10" s="2313"/>
      <c r="F10" s="2313"/>
      <c r="G10" s="2313"/>
      <c r="H10" s="2313"/>
      <c r="I10" s="2124"/>
      <c r="J10" s="2140"/>
      <c r="K10" s="1269"/>
      <c r="L10" s="1312"/>
      <c r="M10" s="1637"/>
      <c r="N10" s="1633"/>
      <c r="P10" s="2281"/>
      <c r="Q10" s="2281"/>
      <c r="R10" s="358"/>
      <c r="S10" s="1280"/>
      <c r="T10" s="290" t="s">
        <v>406</v>
      </c>
      <c r="U10" s="602"/>
      <c r="V10" s="602"/>
      <c r="W10" s="602"/>
      <c r="X10" s="602"/>
      <c r="Y10" s="602"/>
      <c r="Z10" s="602"/>
      <c r="AA10" s="602"/>
      <c r="AB10" s="602"/>
      <c r="AC10" s="602"/>
      <c r="AD10" s="602"/>
      <c r="AE10" s="602"/>
      <c r="AF10" s="602"/>
      <c r="AG10" s="602"/>
      <c r="AH10" s="602"/>
      <c r="AI10" s="602"/>
      <c r="AJ10" s="602"/>
      <c r="AK10" s="602"/>
      <c r="AL10" s="326"/>
      <c r="AM10" s="2309"/>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313"/>
      <c r="F11" s="2313"/>
      <c r="G11" s="2313"/>
      <c r="H11" s="2313"/>
      <c r="I11" s="2140"/>
      <c r="J11" s="1269"/>
      <c r="K11" s="1269"/>
      <c r="L11" s="1312"/>
      <c r="M11" s="1637"/>
      <c r="P11" s="2281"/>
      <c r="Q11" s="1953"/>
      <c r="R11" s="358"/>
      <c r="S11" s="1280"/>
      <c r="T11" s="289" t="s">
        <v>407</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313"/>
      <c r="F12" s="2313"/>
      <c r="G12" s="2313"/>
      <c r="H12" s="2312"/>
      <c r="I12" s="1269"/>
      <c r="J12" s="1269"/>
      <c r="K12" s="1269"/>
      <c r="L12" s="1312"/>
      <c r="M12" s="1612"/>
      <c r="N12" s="1612"/>
      <c r="O12" s="1637"/>
      <c r="P12" s="362"/>
      <c r="Q12" s="377"/>
      <c r="R12" s="357"/>
      <c r="S12" s="1280"/>
      <c r="T12" s="367" t="s">
        <v>408</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3"/>
      <c r="B13" s="1973"/>
      <c r="C13" s="1973"/>
      <c r="D13" s="1973"/>
      <c r="E13" s="2313"/>
      <c r="F13" s="2313"/>
      <c r="G13" s="2312"/>
      <c r="H13" s="1973"/>
      <c r="I13" s="1973"/>
      <c r="J13" s="1973"/>
      <c r="K13" s="1973"/>
      <c r="L13" s="1382"/>
      <c r="M13" s="1612"/>
      <c r="N13" s="1612"/>
      <c r="O13" s="163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3"/>
      <c r="B14" s="1973"/>
      <c r="C14" s="1973"/>
      <c r="D14" s="1973"/>
      <c r="E14" s="2313"/>
      <c r="F14" s="2312"/>
      <c r="G14" s="1973"/>
      <c r="H14" s="1973"/>
      <c r="I14" s="1973"/>
      <c r="J14" s="1973"/>
      <c r="K14" s="1973"/>
      <c r="L14" s="1382"/>
      <c r="M14" s="1974"/>
      <c r="N14" s="1974"/>
      <c r="O14" s="1637"/>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3"/>
      <c r="B15" s="1973"/>
      <c r="C15" s="1973"/>
      <c r="D15" s="1973"/>
      <c r="E15" s="2312"/>
      <c r="F15" s="1973"/>
      <c r="G15" s="1973"/>
      <c r="H15" s="1973"/>
      <c r="I15" s="1973"/>
      <c r="J15" s="1973"/>
      <c r="K15" s="1973"/>
      <c r="L15" s="1382"/>
      <c r="M15" s="1974"/>
      <c r="N15" s="1974"/>
      <c r="O15" s="1637"/>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75"/>
      <c r="AI17" s="2274" t="s">
        <v>65</v>
      </c>
      <c r="AJ17" s="2275"/>
      <c r="AK17" s="2274" t="s">
        <v>65</v>
      </c>
      <c r="AS17" s="1633">
        <v>0</v>
      </c>
    </row>
    <row customHeight="1" ht="14.25" hidden="1">
      <c r="AD18" s="1362"/>
      <c r="AE18" s="1362"/>
      <c r="AF18" s="1362"/>
      <c r="AG18" s="330" t="str">
        <f>AH17&amp;"-"&amp;AJ17</f>
        <v>-</v>
      </c>
      <c r="AH18" s="2274"/>
      <c r="AI18" s="2274"/>
      <c r="AJ18" s="2274"/>
      <c r="AK18" s="2274"/>
      <c r="AS18" s="1633">
        <v>0</v>
      </c>
    </row>
    <row customHeight="1" ht="14.25" hidden="1">
      <c r="AS19" s="1633">
        <v>0</v>
      </c>
    </row>
    <row s="1368" customFormat="1" customHeight="1" ht="22.5" hidden="1">
      <c r="A20" s="1633"/>
      <c r="B20" s="1633"/>
      <c r="C20" s="1633"/>
      <c r="D20" s="1633"/>
      <c r="E20" s="1633"/>
      <c r="F20" s="1633"/>
      <c r="G20" s="1633"/>
      <c r="H20" s="1633"/>
      <c r="I20" s="1633"/>
      <c r="J20" s="1633"/>
      <c r="K20" s="1633"/>
      <c r="L20" s="1938"/>
      <c r="M20" s="1964"/>
      <c r="N20" s="1964"/>
      <c r="O20" s="1347" t="s">
        <v>412</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38"/>
      <c r="M21" s="1964"/>
      <c r="N21" s="1964"/>
      <c r="O21" s="1964"/>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38"/>
      <c r="M22" s="1964"/>
      <c r="N22" s="1964"/>
      <c r="O22" s="1312" t="s">
        <v>413</v>
      </c>
      <c r="P22" s="1364"/>
      <c r="Q22" s="1373"/>
      <c r="R22" s="1373"/>
      <c r="S22" s="731"/>
      <c r="T22" s="1368" t="s">
        <v>414</v>
      </c>
      <c r="AA22" s="597" t="s">
        <v>415</v>
      </c>
      <c r="AC22" s="597" t="s">
        <v>416</v>
      </c>
      <c r="AD22" s="1368" t="s">
        <v>414</v>
      </c>
      <c r="AI22" s="597" t="s">
        <v>417</v>
      </c>
      <c r="AK22" s="597" t="s">
        <v>416</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3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0"/>
      <c r="U26" s="2310"/>
      <c r="V26" s="2310"/>
      <c r="W26" s="2310"/>
      <c r="X26" s="2310"/>
      <c r="Y26" s="2310"/>
      <c r="Z26" s="2310"/>
      <c r="AA26" s="2310"/>
      <c r="AB26" s="2310"/>
      <c r="AC26" s="2310"/>
      <c r="AD26" s="2310"/>
      <c r="AE26" s="2310"/>
      <c r="AF26" s="2310"/>
      <c r="AG26" s="2310"/>
      <c r="AH26" s="2310"/>
      <c r="AI26" s="2310"/>
      <c r="AJ26" s="2310"/>
      <c r="AK26" s="1245"/>
      <c r="AS26" s="1633">
        <v>14</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2" customFormat="1" customHeight="1" ht="25.5" hidden="1">
      <c r="A29" s="1250"/>
      <c r="B29" s="1250"/>
      <c r="C29" s="1250"/>
      <c r="D29" s="1250"/>
      <c r="E29" s="1250"/>
      <c r="F29" s="1250"/>
      <c r="G29" s="1250"/>
      <c r="H29" s="1250"/>
      <c r="I29" s="1250"/>
      <c r="J29" s="1250"/>
      <c r="K29" s="1250"/>
      <c r="L29" s="1382"/>
      <c r="M29" s="1250"/>
      <c r="N29" s="1250"/>
      <c r="O29" s="125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1637"/>
      <c r="AD29" s="2270" t="str">
        <f>IF(TITLE_NAME_OR_PR_CHANGE="",IF(TITLE_NAME_OR_PR="","",TITLE_NAME_OR_PR),TITLE_NAME_OR_PR_CHANGE)</f>
        <v/>
      </c>
      <c r="AE29" s="2270"/>
      <c r="AF29" s="2270"/>
      <c r="AG29" s="2270"/>
      <c r="AH29" s="2270"/>
      <c r="AI29" s="2270"/>
      <c r="AJ29" s="2270"/>
      <c r="AK29" s="1637"/>
      <c r="AL29" s="1637"/>
      <c r="AM29" s="282"/>
      <c r="AN29" s="370"/>
      <c r="AO29" s="370"/>
      <c r="AP29" s="370"/>
      <c r="AQ29" s="370"/>
      <c r="AR29" s="370"/>
      <c r="AS29" s="420">
        <v>0</v>
      </c>
    </row>
    <row s="1852" customFormat="1" customHeight="1" ht="18.75" hidden="1">
      <c r="A30" s="1250"/>
      <c r="B30" s="1250"/>
      <c r="C30" s="1250"/>
      <c r="D30" s="1250"/>
      <c r="E30" s="1250"/>
      <c r="F30" s="1250"/>
      <c r="G30" s="1250"/>
      <c r="H30" s="1250"/>
      <c r="I30" s="1250"/>
      <c r="J30" s="1250"/>
      <c r="K30" s="1250"/>
      <c r="L30" s="1382"/>
      <c r="M30" s="1250"/>
      <c r="N30" s="1250"/>
      <c r="O30" s="125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1637"/>
      <c r="AD30" s="2269" t="str">
        <f>IF(TITLE_DATE_PR_CHANGE="",IF(TITLE_DATE_PR="","",TITLE_DATE_PR),TITLE_DATE_PR_CHANGE)</f>
        <v/>
      </c>
      <c r="AE30" s="2269"/>
      <c r="AF30" s="2269"/>
      <c r="AG30" s="2269"/>
      <c r="AH30" s="2269"/>
      <c r="AI30" s="2269"/>
      <c r="AJ30" s="2269"/>
      <c r="AK30" s="1637"/>
      <c r="AL30" s="1637"/>
      <c r="AM30" s="282"/>
      <c r="AN30" s="370"/>
      <c r="AO30" s="370"/>
      <c r="AP30" s="370"/>
      <c r="AQ30" s="370"/>
      <c r="AR30" s="370"/>
      <c r="AS30" s="420">
        <v>0</v>
      </c>
    </row>
    <row s="1852" customFormat="1" customHeight="1" ht="18.75" hidden="1">
      <c r="A31" s="1250"/>
      <c r="B31" s="1250"/>
      <c r="C31" s="1250"/>
      <c r="D31" s="1250"/>
      <c r="E31" s="1250"/>
      <c r="F31" s="1250"/>
      <c r="G31" s="1250"/>
      <c r="H31" s="1250"/>
      <c r="I31" s="1250"/>
      <c r="J31" s="1250"/>
      <c r="K31" s="1250"/>
      <c r="L31" s="1382"/>
      <c r="M31" s="1250"/>
      <c r="N31" s="1250"/>
      <c r="O31" s="125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1637"/>
      <c r="AD31" s="2270" t="str">
        <f>IF(TITLE_NUMBER_PR_CHANGE="",IF(TITLE_NUMBER_PR="","",TITLE_NUMBER_PR),TITLE_NUMBER_PR_CHANGE)</f>
        <v/>
      </c>
      <c r="AE31" s="2270"/>
      <c r="AF31" s="2270"/>
      <c r="AG31" s="2270"/>
      <c r="AH31" s="2270"/>
      <c r="AI31" s="2270"/>
      <c r="AJ31" s="2270"/>
      <c r="AK31" s="1637"/>
      <c r="AL31" s="1637"/>
      <c r="AM31" s="282"/>
      <c r="AN31" s="370"/>
      <c r="AO31" s="370"/>
      <c r="AP31" s="370"/>
      <c r="AQ31" s="370"/>
      <c r="AR31" s="370"/>
      <c r="AS31" s="420">
        <v>0</v>
      </c>
    </row>
    <row s="1852" customFormat="1" customHeight="1" ht="18.75" hidden="1">
      <c r="A32" s="1250"/>
      <c r="B32" s="1250"/>
      <c r="C32" s="1250"/>
      <c r="D32" s="1250"/>
      <c r="E32" s="1250"/>
      <c r="F32" s="1250"/>
      <c r="G32" s="1250"/>
      <c r="H32" s="1250"/>
      <c r="I32" s="1250"/>
      <c r="J32" s="1250"/>
      <c r="K32" s="1250"/>
      <c r="L32" s="1382"/>
      <c r="M32" s="1250"/>
      <c r="N32" s="1250"/>
      <c r="O32" s="1250"/>
      <c r="S32" s="2268" t="s">
        <v>43</v>
      </c>
      <c r="T32" s="2268"/>
      <c r="U32" s="1374"/>
      <c r="V32" s="2270" t="str">
        <f>IF(TITLE_IST_PUB_CHANGE="",IF(TITLE_IST_PUB="","",TITLE_IST_PUB),TITLE_IST_PUB_CHANGE)</f>
        <v/>
      </c>
      <c r="W32" s="2270"/>
      <c r="X32" s="2270"/>
      <c r="Y32" s="2270"/>
      <c r="Z32" s="2270"/>
      <c r="AA32" s="2270"/>
      <c r="AB32" s="2270"/>
      <c r="AC32" s="1637"/>
      <c r="AD32" s="2270" t="str">
        <f>IF(TITLE_IST_PUB_CHANGE="",IF(TITLE_IST_PUB="","",TITLE_IST_PUB),TITLE_IST_PUB_CHANGE)</f>
        <v/>
      </c>
      <c r="AE32" s="2270"/>
      <c r="AF32" s="2270"/>
      <c r="AG32" s="2270"/>
      <c r="AH32" s="2270"/>
      <c r="AI32" s="2270"/>
      <c r="AJ32" s="2270"/>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2" customFormat="1" customHeight="1" ht="18.75" hidden="1">
      <c r="A34" s="1250"/>
      <c r="B34" s="1250"/>
      <c r="C34" s="1250"/>
      <c r="D34" s="1250"/>
      <c r="E34" s="1250"/>
      <c r="F34" s="1250"/>
      <c r="G34" s="1250"/>
      <c r="H34" s="1250"/>
      <c r="I34" s="1250"/>
      <c r="J34" s="1250"/>
      <c r="K34" s="1250"/>
      <c r="L34" s="1382"/>
      <c r="M34" s="1250"/>
      <c r="N34" s="1250"/>
      <c r="O34" s="125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1637"/>
      <c r="AD34" s="2269" t="str">
        <f>IF(TITLE_DATE_PR_CHANGE="",IF(TITLE_DATE_PR="","",TITLE_DATE_PR),TITLE_DATE_PR_CHANGE)</f>
        <v/>
      </c>
      <c r="AE34" s="2269"/>
      <c r="AF34" s="2269"/>
      <c r="AG34" s="2269"/>
      <c r="AH34" s="2269"/>
      <c r="AI34" s="2269"/>
      <c r="AJ34" s="2269"/>
      <c r="AK34" s="1637"/>
      <c r="AL34" s="1637"/>
      <c r="AM34" s="282"/>
      <c r="AN34" s="370"/>
      <c r="AO34" s="370"/>
      <c r="AP34" s="370"/>
      <c r="AQ34" s="370"/>
      <c r="AR34" s="370"/>
      <c r="AS34" s="420">
        <v>0</v>
      </c>
    </row>
    <row s="1852" customFormat="1" customHeight="1" ht="18.75" hidden="1">
      <c r="A35" s="1250"/>
      <c r="B35" s="1250"/>
      <c r="C35" s="1250"/>
      <c r="D35" s="1250"/>
      <c r="E35" s="1250"/>
      <c r="F35" s="1250"/>
      <c r="G35" s="1250"/>
      <c r="H35" s="1250"/>
      <c r="I35" s="1250"/>
      <c r="J35" s="1250"/>
      <c r="K35" s="1250"/>
      <c r="L35" s="1382"/>
      <c r="M35" s="1250"/>
      <c r="N35" s="1250"/>
      <c r="O35" s="125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1637"/>
      <c r="AD35" s="2270" t="str">
        <f>IF(TITLE_NUMBER_PR_CHANGE="",IF(TITLE_NUMBER_PR="","",TITLE_NUMBER_PR),TITLE_NUMBER_PR_CHANGE)</f>
        <v/>
      </c>
      <c r="AE35" s="2270"/>
      <c r="AF35" s="2270"/>
      <c r="AG35" s="2270"/>
      <c r="AH35" s="2270"/>
      <c r="AI35" s="2270"/>
      <c r="AJ35" s="2270"/>
      <c r="AK35" s="1637"/>
      <c r="AL35" s="1637"/>
      <c r="AM35" s="282"/>
      <c r="AN35" s="370"/>
      <c r="AO35" s="370"/>
      <c r="AP35" s="370"/>
      <c r="AQ35" s="370"/>
      <c r="AR35" s="370"/>
      <c r="AS35" s="420">
        <v>0</v>
      </c>
    </row>
    <row s="1852" customFormat="1" customHeight="1" ht="0">
      <c r="A36" s="1250"/>
      <c r="B36" s="1250"/>
      <c r="C36" s="1250"/>
      <c r="D36" s="1250"/>
      <c r="E36" s="1250"/>
      <c r="F36" s="1250"/>
      <c r="G36" s="1250"/>
      <c r="H36" s="1250"/>
      <c r="I36" s="1250"/>
      <c r="J36" s="1250"/>
      <c r="K36" s="1250"/>
      <c r="L36" s="1382"/>
      <c r="M36" s="1250"/>
      <c r="N36" s="1250"/>
      <c r="O36" s="1250"/>
      <c r="S36" s="1637"/>
      <c r="T36" s="1637"/>
      <c r="U36" s="1969"/>
      <c r="V36" s="1637"/>
      <c r="W36" s="1637"/>
      <c r="X36" s="1637"/>
      <c r="Y36" s="1637"/>
      <c r="Z36" s="1637"/>
      <c r="AA36" s="1637"/>
      <c r="AB36" s="1637"/>
      <c r="AC36" s="1644" t="s">
        <v>418</v>
      </c>
      <c r="AD36" s="1637"/>
      <c r="AE36" s="1637"/>
      <c r="AF36" s="1637"/>
      <c r="AG36" s="1637"/>
      <c r="AH36" s="1637"/>
      <c r="AI36" s="1637"/>
      <c r="AJ36" s="1637"/>
      <c r="AK36" s="1644" t="s">
        <v>418</v>
      </c>
      <c r="AN36" s="370"/>
      <c r="AO36" s="370"/>
      <c r="AP36" s="370"/>
      <c r="AQ36" s="370"/>
      <c r="AR36" s="370"/>
      <c r="AS36" s="420">
        <v>0</v>
      </c>
    </row>
    <row customHeight="1" ht="14.699999999999998">
      <c r="Q37" s="378"/>
      <c r="R37" s="378"/>
      <c r="S37" s="1277"/>
      <c r="T37" s="459"/>
      <c r="U37" s="1246"/>
      <c r="V37" s="2294"/>
      <c r="W37" s="2294"/>
      <c r="X37" s="2294"/>
      <c r="Y37" s="2294"/>
      <c r="Z37" s="2294"/>
      <c r="AA37" s="2294"/>
      <c r="AB37" s="2294"/>
      <c r="AC37" s="2294"/>
      <c r="AD37" s="2294"/>
      <c r="AE37" s="2294"/>
      <c r="AF37" s="2294"/>
      <c r="AG37" s="2294"/>
      <c r="AH37" s="2294"/>
      <c r="AI37" s="2294"/>
      <c r="AJ37" s="2294"/>
      <c r="AK37" s="2294"/>
      <c r="AS37" s="1633">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633">
        <v>14</v>
      </c>
    </row>
    <row customHeight="1" ht="14.699999999999998">
      <c r="Q39" s="378"/>
      <c r="R39" s="378"/>
      <c r="S39" s="2295" t="s">
        <v>88</v>
      </c>
      <c r="T39" s="2232" t="s">
        <v>419</v>
      </c>
      <c r="U39" s="339"/>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633">
        <v>14</v>
      </c>
    </row>
    <row customHeight="1" ht="35.699999999999996">
      <c r="Q40" s="378"/>
      <c r="R40" s="378"/>
      <c r="S40" s="2295"/>
      <c r="T40" s="2232"/>
      <c r="U40" s="1033"/>
      <c r="V40" s="2305" t="s">
        <v>424</v>
      </c>
      <c r="W40" s="2286" t="s">
        <v>425</v>
      </c>
      <c r="X40" s="2288" t="s">
        <v>426</v>
      </c>
      <c r="Y40" s="2290"/>
      <c r="Z40" s="2288" t="s">
        <v>440</v>
      </c>
      <c r="AA40" s="2289"/>
      <c r="AB40" s="2290"/>
      <c r="AC40" s="2300"/>
      <c r="AD40" s="2305" t="s">
        <v>424</v>
      </c>
      <c r="AE40" s="2286" t="s">
        <v>425</v>
      </c>
      <c r="AF40" s="2288" t="s">
        <v>426</v>
      </c>
      <c r="AG40" s="2290"/>
      <c r="AH40" s="2288" t="s">
        <v>427</v>
      </c>
      <c r="AI40" s="2289"/>
      <c r="AJ40" s="2290"/>
      <c r="AK40" s="2300"/>
      <c r="AL40" s="2303"/>
      <c r="AM40" s="2140"/>
      <c r="AS40" s="1633">
        <v>34</v>
      </c>
    </row>
    <row customHeight="1" ht="35.699999999999996">
      <c r="A41" s="1268"/>
      <c r="B41" s="1268" t="s">
        <v>132</v>
      </c>
      <c r="C41" s="1268" t="s">
        <v>133</v>
      </c>
      <c r="D41" s="1268" t="s">
        <v>134</v>
      </c>
      <c r="E41" s="1312" t="s">
        <v>428</v>
      </c>
      <c r="F41" s="1312" t="s">
        <v>429</v>
      </c>
      <c r="G41" s="1312" t="s">
        <v>430</v>
      </c>
      <c r="H41" s="1312" t="s">
        <v>431</v>
      </c>
      <c r="I41" s="1312" t="s">
        <v>432</v>
      </c>
      <c r="J41" s="1312" t="s">
        <v>433</v>
      </c>
      <c r="K41" s="1312" t="s">
        <v>434</v>
      </c>
      <c r="L41" s="1312" t="s">
        <v>413</v>
      </c>
      <c r="Q41" s="378"/>
      <c r="R41" s="378"/>
      <c r="S41" s="2295"/>
      <c r="T41" s="2232"/>
      <c r="U41" s="304"/>
      <c r="V41" s="2306"/>
      <c r="W41" s="2287"/>
      <c r="X41" s="1937" t="s">
        <v>435</v>
      </c>
      <c r="Y41" s="1937" t="s">
        <v>436</v>
      </c>
      <c r="Z41" s="1937" t="s">
        <v>437</v>
      </c>
      <c r="AA41" s="2291" t="s">
        <v>438</v>
      </c>
      <c r="AB41" s="2292"/>
      <c r="AC41" s="2301"/>
      <c r="AD41" s="2306"/>
      <c r="AE41" s="2287"/>
      <c r="AF41" s="1937" t="s">
        <v>435</v>
      </c>
      <c r="AG41" s="1937" t="s">
        <v>436</v>
      </c>
      <c r="AH41" s="1937" t="s">
        <v>437</v>
      </c>
      <c r="AI41" s="2291" t="s">
        <v>438</v>
      </c>
      <c r="AJ41" s="2292"/>
      <c r="AK41" s="2301"/>
      <c r="AL41" s="2304"/>
      <c r="AM41" s="2140"/>
      <c r="AS41" s="1633">
        <v>34</v>
      </c>
    </row>
    <row s="1643" customFormat="1" customHeight="1" ht="11.25" hidden="1">
      <c r="A42" s="1268"/>
      <c r="B42" s="1268"/>
      <c r="C42" s="1268"/>
      <c r="D42" s="1268"/>
      <c r="E42" s="1268"/>
      <c r="F42" s="1268"/>
      <c r="G42" s="1268"/>
      <c r="H42" s="1268"/>
      <c r="I42" s="1268"/>
      <c r="J42" s="1268"/>
      <c r="K42" s="1268"/>
      <c r="L42" s="1312"/>
      <c r="M42" s="1964"/>
      <c r="N42" s="1964"/>
      <c r="O42" s="1964"/>
      <c r="P42" s="1248"/>
      <c r="Q42" s="1249"/>
      <c r="R42" s="1256">
        <v>1</v>
      </c>
      <c r="S42" s="1279" t="s">
        <v>106</v>
      </c>
      <c r="T42" s="1257" t="s">
        <v>107</v>
      </c>
      <c r="U42" s="1247" t="str">
        <f>OFFSET(U42,0,-1)</f>
        <v>2</v>
      </c>
      <c r="V42" s="1955">
        <f>OFFSET(V42,0,-1)+1</f>
        <v>3</v>
      </c>
      <c r="W42" s="1955"/>
      <c r="X42" s="1955">
        <f>OFFSET(X42,0,-1)+1</f>
        <v>1</v>
      </c>
      <c r="Y42" s="1955">
        <f>OFFSET(Y42,0,-1)+1</f>
        <v>2</v>
      </c>
      <c r="Z42" s="1955">
        <f>OFFSET(Z42,0,-1)+1</f>
        <v>3</v>
      </c>
      <c r="AA42" s="2293">
        <f>OFFSET(AA42,0,-1)+1</f>
        <v>4</v>
      </c>
      <c r="AB42" s="2293"/>
      <c r="AC42" s="1955">
        <f>OFFSET(AC42,0,-2)+1</f>
        <v>5</v>
      </c>
      <c r="AD42" s="1955">
        <f>OFFSET(AD42,0,-1)+1</f>
        <v>6</v>
      </c>
      <c r="AE42" s="1955"/>
      <c r="AF42" s="1955">
        <f>OFFSET(AF42,0,-1)+1</f>
        <v>1</v>
      </c>
      <c r="AG42" s="1955">
        <f>OFFSET(AG42,0,-1)+1</f>
        <v>2</v>
      </c>
      <c r="AH42" s="1955">
        <f>OFFSET(AH42,0,-1)+1</f>
        <v>3</v>
      </c>
      <c r="AI42" s="2293">
        <f>OFFSET(AI42,0,-1)+1</f>
        <v>4</v>
      </c>
      <c r="AJ42" s="2293"/>
      <c r="AK42" s="1955">
        <f>OFFSET(AK42,0,-2)+1</f>
        <v>5</v>
      </c>
      <c r="AL42" s="1247">
        <f>OFFSET(AL42,0,-1)</f>
        <v>5</v>
      </c>
      <c r="AM42" s="1955">
        <f>OFFSET(AM42,0,-1)+1</f>
        <v>6</v>
      </c>
      <c r="AN42" s="1638"/>
      <c r="AO42" s="1638"/>
      <c r="AP42" s="1638"/>
      <c r="AQ42" s="1638"/>
      <c r="AR42" s="1638"/>
      <c r="AS42" s="1643">
        <v>0</v>
      </c>
    </row>
    <row customHeight="1" ht="22.049999999999997">
      <c r="A43" s="1269" t="s">
        <v>207</v>
      </c>
      <c r="B43" s="1269"/>
      <c r="C43" s="1269"/>
      <c r="D43" s="1269"/>
      <c r="E43" s="2312">
        <v>1</v>
      </c>
      <c r="F43" s="1269"/>
      <c r="G43" s="1269"/>
      <c r="H43" s="1269"/>
      <c r="I43" s="1269"/>
      <c r="J43" s="1269"/>
      <c r="K43" s="1269"/>
      <c r="L43" s="1312"/>
      <c r="M43" s="1612"/>
      <c r="N43" s="1612"/>
      <c r="O43" s="1612"/>
      <c r="P43" s="1592"/>
      <c r="Q43" s="362"/>
      <c r="R43" s="357"/>
      <c r="S43" s="1957">
        <f>INDEX(PT_DIFFERENTIATION_NUM_NTAR,MATCH(A43,PT_DIFFERENTIATION_NTAR_ID,0))</f>
        <v>0</v>
      </c>
      <c r="T43" s="1527"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207</v>
      </c>
      <c r="B44" s="1269" t="s">
        <v>208</v>
      </c>
      <c r="C44" s="1269"/>
      <c r="D44" s="1269"/>
      <c r="E44" s="2313"/>
      <c r="F44" s="2312">
        <v>1</v>
      </c>
      <c r="G44" s="1269"/>
      <c r="H44" s="1269"/>
      <c r="I44" s="1269"/>
      <c r="J44" s="1269"/>
      <c r="K44" s="1269"/>
      <c r="L44" s="1312"/>
      <c r="M44" s="1612"/>
      <c r="N44" s="1612"/>
      <c r="O44" s="1612"/>
      <c r="P44" s="1939"/>
      <c r="Q44" s="354"/>
      <c r="R44" s="355"/>
      <c r="S44" s="1957" t="str">
        <f>INDEX(PT_DIFFERENTIATION_NUM_TER,MATCH(B44,PT_DIFFERENTIATION_TER_ID,0))</f>
        <v>.</v>
      </c>
      <c r="T44" s="1524"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1626"/>
      <c r="AP44" s="1626" t="str">
        <f>IF(T44="","",T44)</f>
        <v>Территория действия тарифа</v>
      </c>
      <c r="AQ44" s="1626"/>
      <c r="AR44" s="1626"/>
      <c r="AS44" s="1633">
        <v>21</v>
      </c>
    </row>
    <row customHeight="1" ht="24">
      <c r="A45" s="1269" t="s">
        <v>207</v>
      </c>
      <c r="B45" s="1269" t="s">
        <v>208</v>
      </c>
      <c r="C45" s="1269" t="s">
        <v>209</v>
      </c>
      <c r="D45" s="1269"/>
      <c r="E45" s="2313"/>
      <c r="F45" s="2313"/>
      <c r="G45" s="2312">
        <v>1</v>
      </c>
      <c r="H45" s="1269"/>
      <c r="I45" s="1269"/>
      <c r="J45" s="1269"/>
      <c r="K45" s="1269"/>
      <c r="L45" s="1312"/>
      <c r="M45" s="1612"/>
      <c r="N45" s="1612"/>
      <c r="O45" s="1612"/>
      <c r="P45" s="356"/>
      <c r="Q45" s="354"/>
      <c r="R45" s="355"/>
      <c r="S45" s="1957"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1626"/>
      <c r="AP45" s="1626" t="str">
        <f>IF(T45="","",T45)</f>
        <v>Наименование системы теплоснабжения </v>
      </c>
      <c r="AQ45" s="1626"/>
      <c r="AR45" s="1626"/>
      <c r="AS45" s="1633">
        <v>23</v>
      </c>
    </row>
    <row customHeight="1" ht="22.049999999999997">
      <c r="A46" s="1269" t="s">
        <v>207</v>
      </c>
      <c r="B46" s="1269" t="s">
        <v>208</v>
      </c>
      <c r="C46" s="1269" t="s">
        <v>209</v>
      </c>
      <c r="D46" s="1269" t="s">
        <v>210</v>
      </c>
      <c r="E46" s="2313"/>
      <c r="F46" s="2313"/>
      <c r="G46" s="2313"/>
      <c r="H46" s="2312">
        <v>1</v>
      </c>
      <c r="I46" s="1269"/>
      <c r="J46" s="1269"/>
      <c r="K46" s="1269"/>
      <c r="L46" s="1312"/>
      <c r="M46" s="1612"/>
      <c r="N46" s="1612"/>
      <c r="O46" s="1612"/>
      <c r="P46" s="356"/>
      <c r="Q46" s="354"/>
      <c r="R46" s="355"/>
      <c r="S46" s="1957"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1626"/>
      <c r="AP46" s="1626" t="str">
        <f>IF(T46="","",T46)</f>
        <v>Источник тепловой энергии  </v>
      </c>
      <c r="AQ46" s="1626"/>
      <c r="AR46" s="1626"/>
      <c r="AS46" s="1633">
        <v>21</v>
      </c>
    </row>
    <row customHeight="1" ht="49.5">
      <c r="A47" s="1269" t="s">
        <v>207</v>
      </c>
      <c r="B47" s="1269" t="s">
        <v>208</v>
      </c>
      <c r="C47" s="1269" t="s">
        <v>209</v>
      </c>
      <c r="D47" s="1269" t="s">
        <v>210</v>
      </c>
      <c r="E47" s="2313"/>
      <c r="F47" s="2313"/>
      <c r="G47" s="2313"/>
      <c r="H47" s="2313"/>
      <c r="I47" s="2140" t="str">
        <f>S46&amp;".1"</f>
        <v>....1</v>
      </c>
      <c r="J47" s="1269"/>
      <c r="K47" s="1269"/>
      <c r="L47" s="1312" t="s">
        <v>398</v>
      </c>
      <c r="P47" s="2281">
        <v>1</v>
      </c>
      <c r="Q47" s="1953"/>
      <c r="R47" s="358"/>
      <c r="S47" s="1957" t="str">
        <f>$I47</f>
        <v>....1</v>
      </c>
      <c r="T47" s="287" t="s">
        <v>399</v>
      </c>
      <c r="U47" s="302"/>
      <c r="V47" s="2265"/>
      <c r="W47" s="2266"/>
      <c r="X47" s="2266"/>
      <c r="Y47" s="2266"/>
      <c r="Z47" s="2266"/>
      <c r="AA47" s="2266"/>
      <c r="AB47" s="2266"/>
      <c r="AC47" s="2267"/>
      <c r="AD47" s="2265"/>
      <c r="AE47" s="2266"/>
      <c r="AF47" s="2266"/>
      <c r="AG47" s="2266"/>
      <c r="AH47" s="2266"/>
      <c r="AI47" s="2266"/>
      <c r="AJ47" s="2266"/>
      <c r="AK47" s="2266"/>
      <c r="AL47" s="2267"/>
      <c r="AM47" s="1260" t="s">
        <v>400</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207</v>
      </c>
      <c r="B48" s="1269" t="s">
        <v>208</v>
      </c>
      <c r="C48" s="1269" t="s">
        <v>209</v>
      </c>
      <c r="D48" s="1269" t="s">
        <v>210</v>
      </c>
      <c r="E48" s="2313"/>
      <c r="F48" s="2313"/>
      <c r="G48" s="2313"/>
      <c r="H48" s="2313"/>
      <c r="I48" s="2124"/>
      <c r="J48" s="2140" t="str">
        <f>I47&amp;".1"</f>
        <v>....1.1</v>
      </c>
      <c r="K48" s="1269"/>
      <c r="L48" s="1312" t="s">
        <v>401</v>
      </c>
      <c r="P48" s="2281"/>
      <c r="Q48" s="2281">
        <v>1</v>
      </c>
      <c r="R48" s="359"/>
      <c r="S48" s="1957" t="str">
        <f>$J48</f>
        <v>....1.1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1626"/>
      <c r="AP48" s="1626" t="str">
        <f>IF(T48="","",T48)</f>
        <v>Группа потребителей</v>
      </c>
      <c r="AQ48" s="1626"/>
      <c r="AR48" s="1626"/>
      <c r="AS48" s="1633">
        <v>21</v>
      </c>
    </row>
    <row customHeight="1" ht="22.049999999999997">
      <c r="A49" s="1269" t="s">
        <v>207</v>
      </c>
      <c r="B49" s="1269" t="s">
        <v>208</v>
      </c>
      <c r="C49" s="1269" t="s">
        <v>209</v>
      </c>
      <c r="D49" s="1269" t="s">
        <v>210</v>
      </c>
      <c r="E49" s="2313"/>
      <c r="F49" s="2313"/>
      <c r="G49" s="2313"/>
      <c r="H49" s="2313"/>
      <c r="I49" s="2124"/>
      <c r="J49" s="2124"/>
      <c r="K49" s="2140" t="str">
        <f>J48&amp;".1"</f>
        <v>....1.1.1</v>
      </c>
      <c r="L49" s="1312" t="s">
        <v>404</v>
      </c>
      <c r="P49" s="2281"/>
      <c r="Q49" s="2281"/>
      <c r="R49" s="359">
        <v>1</v>
      </c>
      <c r="S49" s="1957" t="str">
        <f>$K49</f>
        <v>....1.1.1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405</v>
      </c>
      <c r="AN49" s="1638">
        <f>STRCHECKDATE(V50:AL50)</f>
      </c>
      <c r="AO49" s="1626"/>
      <c r="AP49" s="1626" t="str">
        <f>IF(T49="","",T49)</f>
        <v/>
      </c>
      <c r="AQ49" s="1626"/>
      <c r="AR49" s="1626"/>
      <c r="AS49" s="1633">
        <v>21</v>
      </c>
    </row>
    <row customHeight="1" ht="1.05">
      <c r="A50" s="1269" t="s">
        <v>207</v>
      </c>
      <c r="B50" s="1269" t="s">
        <v>208</v>
      </c>
      <c r="C50" s="1269" t="s">
        <v>209</v>
      </c>
      <c r="D50" s="1269" t="s">
        <v>210</v>
      </c>
      <c r="E50" s="2313"/>
      <c r="F50" s="2313"/>
      <c r="G50" s="2313"/>
      <c r="H50" s="2313"/>
      <c r="I50" s="2124"/>
      <c r="J50" s="2124"/>
      <c r="K50" s="2140"/>
      <c r="L50" s="1312"/>
      <c r="P50" s="2281"/>
      <c r="Q50" s="2281"/>
      <c r="R50" s="359"/>
      <c r="S50" s="1966"/>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1626"/>
      <c r="AP50" s="1626" t="str">
        <f>IF(T50="","",T50)</f>
        <v/>
      </c>
      <c r="AQ50" s="1626"/>
      <c r="AR50" s="1626"/>
      <c r="AS50" s="1633">
        <v>1</v>
      </c>
    </row>
    <row customHeight="1" ht="11.549999999999999">
      <c r="A51" s="1269" t="s">
        <v>207</v>
      </c>
      <c r="B51" s="1269" t="s">
        <v>208</v>
      </c>
      <c r="C51" s="1269" t="s">
        <v>209</v>
      </c>
      <c r="D51" s="1269" t="s">
        <v>210</v>
      </c>
      <c r="E51" s="2313"/>
      <c r="F51" s="2313"/>
      <c r="G51" s="2313"/>
      <c r="H51" s="2313"/>
      <c r="I51" s="2124"/>
      <c r="J51" s="2140"/>
      <c r="K51" s="1269"/>
      <c r="L51" s="1312"/>
      <c r="P51" s="2281"/>
      <c r="Q51" s="2281"/>
      <c r="R51" s="358"/>
      <c r="S51" s="1280"/>
      <c r="T51" s="290" t="s">
        <v>406</v>
      </c>
      <c r="U51" s="602"/>
      <c r="V51" s="602"/>
      <c r="W51" s="602"/>
      <c r="X51" s="602"/>
      <c r="Y51" s="602"/>
      <c r="Z51" s="602"/>
      <c r="AA51" s="602"/>
      <c r="AB51" s="602"/>
      <c r="AC51" s="602"/>
      <c r="AD51" s="602"/>
      <c r="AE51" s="602"/>
      <c r="AF51" s="602"/>
      <c r="AG51" s="602"/>
      <c r="AH51" s="602"/>
      <c r="AI51" s="602"/>
      <c r="AJ51" s="602"/>
      <c r="AK51" s="602"/>
      <c r="AL51" s="326"/>
      <c r="AM51" s="2309"/>
      <c r="AO51" s="1626"/>
      <c r="AP51" s="1626" t="str">
        <f>IF(T51="","",T51)</f>
        <v>Добавить вид теплоносителя (параметры теплоносителя)</v>
      </c>
      <c r="AQ51" s="1626"/>
      <c r="AR51" s="1626"/>
      <c r="AS51" s="1633">
        <v>11</v>
      </c>
    </row>
    <row customHeight="1" ht="11.549999999999999">
      <c r="A52" s="1269" t="s">
        <v>207</v>
      </c>
      <c r="B52" s="1269" t="s">
        <v>208</v>
      </c>
      <c r="C52" s="1269" t="s">
        <v>209</v>
      </c>
      <c r="D52" s="1269" t="s">
        <v>210</v>
      </c>
      <c r="E52" s="2313"/>
      <c r="F52" s="2313"/>
      <c r="G52" s="2313"/>
      <c r="H52" s="2313"/>
      <c r="I52" s="2140"/>
      <c r="J52" s="1269"/>
      <c r="K52" s="1269"/>
      <c r="L52" s="1312"/>
      <c r="P52" s="2281"/>
      <c r="Q52" s="1953"/>
      <c r="R52" s="358"/>
      <c r="S52" s="1280"/>
      <c r="T52" s="289" t="s">
        <v>407</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207</v>
      </c>
      <c r="B53" s="1269" t="s">
        <v>208</v>
      </c>
      <c r="C53" s="1269" t="s">
        <v>209</v>
      </c>
      <c r="D53" s="1269" t="s">
        <v>210</v>
      </c>
      <c r="E53" s="2313"/>
      <c r="F53" s="2313"/>
      <c r="G53" s="2313"/>
      <c r="H53" s="2312"/>
      <c r="I53" s="1269"/>
      <c r="J53" s="1269"/>
      <c r="K53" s="1269"/>
      <c r="L53" s="1312"/>
      <c r="M53" s="1612"/>
      <c r="N53" s="1612"/>
      <c r="O53" s="1637"/>
      <c r="P53" s="362"/>
      <c r="Q53" s="377"/>
      <c r="R53" s="357"/>
      <c r="S53" s="1280"/>
      <c r="T53" s="367" t="s">
        <v>408</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207</v>
      </c>
      <c r="B54" s="1269" t="s">
        <v>208</v>
      </c>
      <c r="C54" s="1269" t="s">
        <v>209</v>
      </c>
      <c r="D54" s="1973"/>
      <c r="E54" s="2313"/>
      <c r="F54" s="2313"/>
      <c r="G54" s="2312"/>
      <c r="H54" s="1973"/>
      <c r="I54" s="1973"/>
      <c r="J54" s="1973"/>
      <c r="K54" s="1973"/>
      <c r="L54" s="1382"/>
      <c r="M54" s="1612"/>
      <c r="N54" s="1612"/>
      <c r="O54" s="163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207</v>
      </c>
      <c r="B55" s="1269" t="s">
        <v>208</v>
      </c>
      <c r="C55" s="1973"/>
      <c r="D55" s="1973"/>
      <c r="E55" s="2313"/>
      <c r="F55" s="2312"/>
      <c r="G55" s="1973"/>
      <c r="H55" s="1973"/>
      <c r="I55" s="1973"/>
      <c r="J55" s="1973"/>
      <c r="K55" s="1973"/>
      <c r="L55" s="1382"/>
      <c r="M55" s="1974"/>
      <c r="N55" s="1974"/>
      <c r="O55" s="1637"/>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207</v>
      </c>
      <c r="B56" s="1269"/>
      <c r="C56" s="1269"/>
      <c r="D56" s="1269"/>
      <c r="E56" s="2312"/>
      <c r="F56" s="1269"/>
      <c r="G56" s="1269"/>
      <c r="H56" s="1269"/>
      <c r="I56" s="1269"/>
      <c r="J56" s="1269"/>
      <c r="K56" s="1269"/>
      <c r="L56" s="1312"/>
      <c r="M56" s="1974"/>
      <c r="N56" s="1974"/>
      <c r="O56" s="1637"/>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3"/>
      <c r="B57" s="1973"/>
      <c r="C57" s="1973"/>
      <c r="D57" s="1973"/>
      <c r="E57" s="1269"/>
      <c r="F57" s="1973"/>
      <c r="G57" s="1973"/>
      <c r="H57" s="1973"/>
      <c r="I57" s="1973"/>
      <c r="J57" s="1973"/>
      <c r="K57" s="1973"/>
      <c r="L57" s="1382"/>
      <c r="M57" s="1974"/>
      <c r="N57" s="1974"/>
      <c r="O57" s="1637"/>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633">
        <v>27</v>
      </c>
    </row>
    <row customHeight="1" ht="65.25">
      <c r="O60" s="1637"/>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633">
        <v>62</v>
      </c>
    </row>
    <row customHeight="1" ht="14.699999999999998">
      <c r="O61" s="1637"/>
      <c r="AS61" s="1633">
        <v>14</v>
      </c>
    </row>
    <row customHeight="1" ht="18.75">
      <c r="O62" s="1637"/>
      <c r="S62" s="1255"/>
      <c r="T62" s="2276"/>
      <c r="U62" s="2276"/>
      <c r="V62" s="2276"/>
      <c r="W62" s="2276"/>
      <c r="X62" s="2276"/>
      <c r="Y62" s="2276"/>
      <c r="Z62" s="2276"/>
      <c r="AA62" s="2276"/>
      <c r="AB62" s="2276"/>
      <c r="AC62" s="2276"/>
      <c r="AD62" s="2276"/>
      <c r="AE62" s="2276"/>
      <c r="AF62" s="2276"/>
      <c r="AG62" s="2276"/>
      <c r="AH62" s="2276"/>
      <c r="AI62" s="2276"/>
      <c r="AJ62" s="2276"/>
      <c r="AK62" s="2276"/>
      <c r="AL62" s="2276"/>
      <c r="AM62" s="2276"/>
      <c r="AS62" s="1633">
        <v>18</v>
      </c>
    </row>
    <row customHeight="1" ht="18.75">
      <c r="O63" s="1637"/>
      <c r="T63" s="2276"/>
      <c r="U63" s="2276"/>
      <c r="V63" s="2276"/>
      <c r="W63" s="2276"/>
      <c r="X63" s="2276"/>
      <c r="Y63" s="2276"/>
      <c r="Z63" s="2276"/>
      <c r="AA63" s="2276"/>
      <c r="AB63" s="2276"/>
      <c r="AC63" s="2276"/>
      <c r="AD63" s="2276"/>
      <c r="AE63" s="2276"/>
      <c r="AF63" s="2276"/>
      <c r="AG63" s="2276"/>
      <c r="AH63" s="2276"/>
      <c r="AI63" s="2276"/>
      <c r="AJ63" s="2276"/>
      <c r="AK63" s="2276"/>
      <c r="AL63" s="2276"/>
      <c r="AM63" s="2276"/>
      <c r="AS63" s="1633">
        <v>18</v>
      </c>
    </row>
    <row customHeight="1" ht="29.25">
      <c r="O64" s="1637"/>
      <c r="S64" s="1255"/>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38">
        <v>0</v>
      </c>
      <c r="M65" s="1964">
        <v>0</v>
      </c>
      <c r="N65" s="1964">
        <v>0</v>
      </c>
      <c r="O65" s="1964">
        <v>0</v>
      </c>
      <c r="P65" s="1964">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CC975-0555-9678-4A4A-6495585CA4C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77">
        <v>1</v>
      </c>
      <c r="F2" s="1365"/>
      <c r="G2" s="1365"/>
      <c r="H2" s="1365"/>
      <c r="I2" s="1365"/>
      <c r="J2" s="1365"/>
      <c r="K2" s="1365"/>
      <c r="L2" s="1366"/>
      <c r="M2" s="1367"/>
      <c r="N2" s="1367"/>
      <c r="O2" s="1367"/>
      <c r="P2" s="363"/>
      <c r="Q2" s="362"/>
      <c r="R2" s="357"/>
      <c r="S2" s="1338">
        <f>INDEX(PT_DIFFERENTIATION_NUM_NTAR,MATCH(A2,PT_DIFFERENTIATION_NTAR_ID,0))</f>
      </c>
      <c r="T2" s="300"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502"/>
      <c r="AP2" s="502" t="str">
        <f>IF(T2="","",T2)</f>
        <v>Наименование тарифа</v>
      </c>
      <c r="AQ2" s="502"/>
      <c r="AR2" s="502"/>
      <c r="AS2" s="1157">
        <v>0</v>
      </c>
    </row>
    <row customHeight="1" ht="21" hidden="1">
      <c r="A3" s="1365"/>
      <c r="B3" s="1365"/>
      <c r="C3" s="1365"/>
      <c r="D3" s="1365"/>
      <c r="E3" s="2278"/>
      <c r="F3" s="2277">
        <v>1</v>
      </c>
      <c r="G3" s="1365"/>
      <c r="H3" s="1365"/>
      <c r="I3" s="1365"/>
      <c r="J3" s="1365"/>
      <c r="K3" s="1365"/>
      <c r="L3" s="1366"/>
      <c r="M3" s="1367"/>
      <c r="N3" s="1367"/>
      <c r="O3" s="1367"/>
      <c r="P3" s="1334"/>
      <c r="Q3" s="354"/>
      <c r="R3" s="355"/>
      <c r="S3" s="1338">
        <f>INDEX(PT_DIFFERENTIATION_NUM_TER,MATCH(B3,PT_DIFFERENTIATION_TER_ID,0))</f>
      </c>
      <c r="T3" s="310"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502"/>
      <c r="AP3" s="502" t="str">
        <f>IF(T3="","",T3)</f>
        <v>Территория действия тарифа</v>
      </c>
      <c r="AQ3" s="502"/>
      <c r="AR3" s="502"/>
      <c r="AS3" s="1157">
        <v>0</v>
      </c>
    </row>
    <row customHeight="1" ht="23.25" hidden="1">
      <c r="A4" s="1365"/>
      <c r="B4" s="1365"/>
      <c r="C4" s="1365"/>
      <c r="D4" s="1365"/>
      <c r="E4" s="2278"/>
      <c r="F4" s="2278"/>
      <c r="G4" s="2277">
        <v>1</v>
      </c>
      <c r="H4" s="1365"/>
      <c r="I4" s="1365"/>
      <c r="J4" s="1365"/>
      <c r="K4" s="1365"/>
      <c r="L4" s="1366"/>
      <c r="M4" s="1367"/>
      <c r="N4" s="1367"/>
      <c r="O4" s="1367"/>
      <c r="P4" s="356"/>
      <c r="Q4" s="354"/>
      <c r="R4" s="355"/>
      <c r="S4" s="1338">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502"/>
      <c r="AP4" s="502" t="str">
        <f>IF(T4="","",T4)</f>
        <v>Наименование системы теплоснабжения </v>
      </c>
      <c r="AQ4" s="502"/>
      <c r="AR4" s="502"/>
      <c r="AS4" s="1157">
        <v>0</v>
      </c>
    </row>
    <row customHeight="1" ht="21" hidden="1">
      <c r="A5" s="1365"/>
      <c r="B5" s="1365"/>
      <c r="C5" s="1365"/>
      <c r="D5" s="1365"/>
      <c r="E5" s="2278"/>
      <c r="F5" s="2278"/>
      <c r="G5" s="2278"/>
      <c r="H5" s="2277">
        <v>1</v>
      </c>
      <c r="I5" s="1365"/>
      <c r="J5" s="1365"/>
      <c r="K5" s="1365"/>
      <c r="L5" s="1366"/>
      <c r="M5" s="1367"/>
      <c r="N5" s="1367"/>
      <c r="O5" s="1367"/>
      <c r="P5" s="356"/>
      <c r="Q5" s="354"/>
      <c r="R5" s="355"/>
      <c r="S5" s="1338">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502"/>
      <c r="AP5" s="502" t="str">
        <f>IF(T5="","",T5)</f>
        <v>Источник тепловой энергии  </v>
      </c>
      <c r="AQ5" s="502"/>
      <c r="AR5" s="502"/>
      <c r="AS5" s="1157">
        <v>0</v>
      </c>
    </row>
    <row customHeight="1" ht="47.25" hidden="1">
      <c r="A6" s="1365"/>
      <c r="B6" s="1365"/>
      <c r="C6" s="1365"/>
      <c r="D6" s="1365"/>
      <c r="E6" s="2278"/>
      <c r="F6" s="2278"/>
      <c r="G6" s="2278"/>
      <c r="H6" s="2278"/>
      <c r="I6" s="2279">
        <f>S5&amp;".1"</f>
      </c>
      <c r="J6" s="1365"/>
      <c r="K6" s="1365"/>
      <c r="L6" s="1366" t="s">
        <v>398</v>
      </c>
      <c r="M6" s="539"/>
      <c r="P6" s="2281">
        <v>1</v>
      </c>
      <c r="Q6" s="1333"/>
      <c r="R6" s="358"/>
      <c r="S6" s="1338">
        <f>$I6</f>
      </c>
      <c r="T6" s="287" t="s">
        <v>399</v>
      </c>
      <c r="U6" s="302"/>
      <c r="V6" s="2265"/>
      <c r="W6" s="2266"/>
      <c r="X6" s="2266"/>
      <c r="Y6" s="2266"/>
      <c r="Z6" s="2266"/>
      <c r="AA6" s="2266"/>
      <c r="AB6" s="2266"/>
      <c r="AC6" s="2267"/>
      <c r="AD6" s="2265"/>
      <c r="AE6" s="2266"/>
      <c r="AF6" s="2266"/>
      <c r="AG6" s="2266"/>
      <c r="AH6" s="2266"/>
      <c r="AI6" s="2266"/>
      <c r="AJ6" s="2266"/>
      <c r="AK6" s="2266"/>
      <c r="AL6" s="2267"/>
      <c r="AM6" s="1260" t="s">
        <v>400</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78"/>
      <c r="F7" s="2278"/>
      <c r="G7" s="2278"/>
      <c r="H7" s="2278"/>
      <c r="I7" s="2280"/>
      <c r="J7" s="2279">
        <f>I6&amp;".1"</f>
      </c>
      <c r="K7" s="1365"/>
      <c r="L7" s="1366" t="s">
        <v>401</v>
      </c>
      <c r="M7" s="539"/>
      <c r="N7" s="1368"/>
      <c r="P7" s="2281"/>
      <c r="Q7" s="2281">
        <v>1</v>
      </c>
      <c r="R7" s="359"/>
      <c r="S7" s="1338">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502"/>
      <c r="AP7" s="502" t="str">
        <f>IF(T7="","",T7)</f>
        <v>Группа потребителей</v>
      </c>
      <c r="AQ7" s="502"/>
      <c r="AR7" s="502"/>
      <c r="AS7" s="1157">
        <v>0</v>
      </c>
    </row>
    <row customHeight="1" ht="21" hidden="1">
      <c r="A8" s="1365"/>
      <c r="B8" s="1365"/>
      <c r="C8" s="1365"/>
      <c r="D8" s="1365"/>
      <c r="E8" s="2278"/>
      <c r="F8" s="2278"/>
      <c r="G8" s="2278"/>
      <c r="H8" s="2278"/>
      <c r="I8" s="2280"/>
      <c r="J8" s="2280"/>
      <c r="K8" s="2279">
        <f>J7&amp;".1"</f>
      </c>
      <c r="L8" s="1366" t="s">
        <v>404</v>
      </c>
      <c r="M8" s="539"/>
      <c r="N8" s="1368"/>
      <c r="O8" s="1368"/>
      <c r="P8" s="2281"/>
      <c r="Q8" s="2281"/>
      <c r="R8" s="359">
        <v>1</v>
      </c>
      <c r="S8" s="1338">
        <f>$K8</f>
      </c>
      <c r="T8" s="1349"/>
      <c r="U8" s="302"/>
      <c r="V8" s="327"/>
      <c r="W8" s="753"/>
      <c r="X8" s="327"/>
      <c r="Y8" s="386"/>
      <c r="Z8" s="2282"/>
      <c r="AA8" s="2150" t="s">
        <v>65</v>
      </c>
      <c r="AB8" s="2282"/>
      <c r="AC8" s="2150" t="s">
        <v>65</v>
      </c>
      <c r="AD8" s="327"/>
      <c r="AE8" s="753"/>
      <c r="AF8" s="327"/>
      <c r="AG8" s="386"/>
      <c r="AH8" s="2282"/>
      <c r="AI8" s="2150" t="s">
        <v>65</v>
      </c>
      <c r="AJ8" s="2282"/>
      <c r="AK8" s="2150" t="s">
        <v>65</v>
      </c>
      <c r="AL8" s="327"/>
      <c r="AM8" s="2307" t="s">
        <v>405</v>
      </c>
      <c r="AN8" s="513">
        <f>STRCHECKDATE(V9:AL9)</f>
      </c>
      <c r="AO8" s="502"/>
      <c r="AP8" s="502" t="str">
        <f>IF(T8="","",T8)</f>
        <v/>
      </c>
      <c r="AQ8" s="502"/>
      <c r="AR8" s="502"/>
      <c r="AS8" s="1157">
        <v>0</v>
      </c>
    </row>
    <row customHeight="1" ht="0.75" hidden="1">
      <c r="A9" s="1365"/>
      <c r="B9" s="1365"/>
      <c r="C9" s="1365"/>
      <c r="D9" s="1365"/>
      <c r="E9" s="2278"/>
      <c r="F9" s="2278"/>
      <c r="G9" s="2278"/>
      <c r="H9" s="2278"/>
      <c r="I9" s="2280"/>
      <c r="J9" s="2280"/>
      <c r="K9" s="2279"/>
      <c r="L9" s="1366"/>
      <c r="M9" s="539"/>
      <c r="N9" s="1368"/>
      <c r="O9" s="1368"/>
      <c r="P9" s="2281"/>
      <c r="Q9" s="2281"/>
      <c r="R9" s="359"/>
      <c r="S9" s="1344"/>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502"/>
      <c r="AP9" s="502" t="str">
        <f>IF(T9="","",T9)</f>
        <v/>
      </c>
      <c r="AQ9" s="502"/>
      <c r="AR9" s="502"/>
      <c r="AS9" s="1157">
        <v>0</v>
      </c>
    </row>
    <row customHeight="1" ht="15" hidden="1">
      <c r="A10" s="1365"/>
      <c r="B10" s="1365"/>
      <c r="C10" s="1365"/>
      <c r="D10" s="1365"/>
      <c r="E10" s="2278"/>
      <c r="F10" s="2278"/>
      <c r="G10" s="2278"/>
      <c r="H10" s="2278"/>
      <c r="I10" s="2280"/>
      <c r="J10" s="2279"/>
      <c r="K10" s="1365"/>
      <c r="L10" s="1366"/>
      <c r="M10" s="539"/>
      <c r="N10" s="1368"/>
      <c r="P10" s="2281"/>
      <c r="Q10" s="2281"/>
      <c r="R10" s="358"/>
      <c r="S10" s="1280"/>
      <c r="T10" s="290" t="s">
        <v>406</v>
      </c>
      <c r="U10" s="369"/>
      <c r="V10" s="369"/>
      <c r="W10" s="369"/>
      <c r="X10" s="369"/>
      <c r="Y10" s="369"/>
      <c r="Z10" s="369"/>
      <c r="AA10" s="369"/>
      <c r="AB10" s="369"/>
      <c r="AC10" s="369"/>
      <c r="AD10" s="369"/>
      <c r="AE10" s="369"/>
      <c r="AF10" s="369"/>
      <c r="AG10" s="369"/>
      <c r="AH10" s="369"/>
      <c r="AI10" s="369"/>
      <c r="AJ10" s="369"/>
      <c r="AK10" s="369"/>
      <c r="AL10" s="326"/>
      <c r="AM10" s="2309"/>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78"/>
      <c r="F11" s="2278"/>
      <c r="G11" s="2278"/>
      <c r="H11" s="2278"/>
      <c r="I11" s="2279"/>
      <c r="J11" s="1365"/>
      <c r="K11" s="1365"/>
      <c r="L11" s="1366"/>
      <c r="M11" s="539"/>
      <c r="P11" s="2281"/>
      <c r="Q11" s="1333"/>
      <c r="R11" s="358"/>
      <c r="S11" s="1280"/>
      <c r="T11" s="289" t="s">
        <v>407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78"/>
      <c r="F12" s="2278"/>
      <c r="G12" s="2278"/>
      <c r="H12" s="2277"/>
      <c r="I12" s="1365"/>
      <c r="J12" s="1365"/>
      <c r="K12" s="1365"/>
      <c r="L12" s="1366"/>
      <c r="M12" s="1367"/>
      <c r="N12" s="1367"/>
      <c r="O12" s="539"/>
      <c r="P12" s="362"/>
      <c r="Q12" s="377"/>
      <c r="R12" s="357"/>
      <c r="S12" s="1280"/>
      <c r="T12" s="367" t="s">
        <v>408</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78"/>
      <c r="F13" s="2278"/>
      <c r="G13" s="2277"/>
      <c r="H13" s="1316"/>
      <c r="I13" s="1316"/>
      <c r="J13" s="1316"/>
      <c r="K13" s="1316"/>
      <c r="L13" s="1341"/>
      <c r="M13" s="1317"/>
      <c r="N13" s="131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78"/>
      <c r="F14" s="2277"/>
      <c r="G14" s="1316"/>
      <c r="H14" s="1316"/>
      <c r="I14" s="1316"/>
      <c r="J14" s="1316"/>
      <c r="K14" s="1316"/>
      <c r="L14" s="1341"/>
      <c r="M14" s="1323"/>
      <c r="N14" s="132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77"/>
      <c r="F15" s="1316"/>
      <c r="G15" s="1316"/>
      <c r="H15" s="1316"/>
      <c r="I15" s="1316"/>
      <c r="J15" s="1316"/>
      <c r="K15" s="1316"/>
      <c r="L15" s="1341"/>
      <c r="M15" s="1323"/>
      <c r="N15" s="132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75"/>
      <c r="AI17" s="2274" t="s">
        <v>65</v>
      </c>
      <c r="AJ17" s="2275"/>
      <c r="AK17" s="2274" t="s">
        <v>65</v>
      </c>
      <c r="AS17" s="1157">
        <v>0</v>
      </c>
    </row>
    <row customHeight="1" ht="14.25" hidden="1">
      <c r="AD18" s="1362"/>
      <c r="AE18" s="1362"/>
      <c r="AF18" s="1362"/>
      <c r="AG18" s="330" t="str">
        <f>AH17&amp;"-"&amp;AJ17</f>
        <v>-</v>
      </c>
      <c r="AH18" s="2274"/>
      <c r="AI18" s="2274"/>
      <c r="AJ18" s="2274"/>
      <c r="AK18" s="2274"/>
      <c r="AS18" s="1157">
        <v>0</v>
      </c>
    </row>
    <row customHeight="1" ht="14.25" hidden="1">
      <c r="AK19" s="329"/>
      <c r="AS19" s="1157">
        <v>0</v>
      </c>
    </row>
    <row s="1368" customFormat="1" customHeight="1" ht="22.5" hidden="1">
      <c r="L20" s="1331"/>
      <c r="M20" s="1364"/>
      <c r="N20" s="1364"/>
      <c r="O20" s="1369" t="s">
        <v>412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413</v>
      </c>
      <c r="P22" s="1364"/>
      <c r="Q22" s="1373"/>
      <c r="R22" s="1373"/>
      <c r="S22" s="731"/>
      <c r="T22" s="1162" t="s">
        <v>414</v>
      </c>
      <c r="AA22" s="188" t="s">
        <v>415</v>
      </c>
      <c r="AC22" s="188" t="s">
        <v>416</v>
      </c>
      <c r="AD22" s="1162" t="s">
        <v>414</v>
      </c>
      <c r="AI22" s="188" t="s">
        <v>417</v>
      </c>
      <c r="AK22" s="188" t="s">
        <v>416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3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0"/>
      <c r="U26" s="2310"/>
      <c r="V26" s="2310"/>
      <c r="W26" s="2310"/>
      <c r="X26" s="2310"/>
      <c r="Y26" s="2310"/>
      <c r="Z26" s="2310"/>
      <c r="AA26" s="2310"/>
      <c r="AB26" s="2310"/>
      <c r="AC26" s="2310"/>
      <c r="AD26" s="2310"/>
      <c r="AE26" s="2310"/>
      <c r="AF26" s="2310"/>
      <c r="AG26" s="2310"/>
      <c r="AH26" s="2310"/>
      <c r="AI26" s="2310"/>
      <c r="AJ26" s="2310"/>
      <c r="AK26" s="1245"/>
      <c r="AS26" s="1157">
        <v>28</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2" customFormat="1" customHeight="1" ht="25.5" hidden="1">
      <c r="A29" s="1370"/>
      <c r="B29" s="1370"/>
      <c r="C29" s="1370"/>
      <c r="D29" s="1370"/>
      <c r="E29" s="1370"/>
      <c r="F29" s="1370"/>
      <c r="G29" s="1370"/>
      <c r="H29" s="1370"/>
      <c r="I29" s="1370"/>
      <c r="J29" s="1370"/>
      <c r="K29" s="1370"/>
      <c r="L29" s="1371"/>
      <c r="M29" s="1370"/>
      <c r="N29" s="1370"/>
      <c r="O29" s="137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328"/>
      <c r="AD29" s="2270" t="str">
        <f>IF(TITLE_NAME_OR_PR_CHANGE="",IF(TITLE_NAME_OR_PR="","",TITLE_NAME_OR_PR),TITLE_NAME_OR_PR_CHANGE)</f>
        <v/>
      </c>
      <c r="AE29" s="2270"/>
      <c r="AF29" s="2270"/>
      <c r="AG29" s="2270"/>
      <c r="AH29" s="2270"/>
      <c r="AI29" s="2270"/>
      <c r="AJ29" s="2270"/>
      <c r="AK29" s="328"/>
      <c r="AL29" s="328"/>
      <c r="AM29" s="282"/>
      <c r="AN29" s="370"/>
      <c r="AO29" s="370"/>
      <c r="AP29" s="370"/>
      <c r="AQ29" s="370"/>
      <c r="AR29" s="370"/>
      <c r="AS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328"/>
      <c r="AD30" s="2269" t="str">
        <f>IF(TITLE_DATE_PR_CHANGE="",IF(TITLE_DATE_PR="","",TITLE_DATE_PR),TITLE_DATE_PR_CHANGE)</f>
        <v/>
      </c>
      <c r="AE30" s="2269"/>
      <c r="AF30" s="2269"/>
      <c r="AG30" s="2269"/>
      <c r="AH30" s="2269"/>
      <c r="AI30" s="2269"/>
      <c r="AJ30" s="2269"/>
      <c r="AK30" s="328"/>
      <c r="AL30" s="328"/>
      <c r="AM30" s="282"/>
      <c r="AN30" s="370"/>
      <c r="AO30" s="370"/>
      <c r="AP30" s="370"/>
      <c r="AQ30" s="370"/>
      <c r="AR30" s="370"/>
      <c r="AS30" s="420">
        <v>0</v>
      </c>
    </row>
    <row s="1852" customFormat="1" customHeight="1" ht="18.75" hidden="1">
      <c r="A31" s="1370"/>
      <c r="B31" s="1370"/>
      <c r="C31" s="1370"/>
      <c r="D31" s="1370"/>
      <c r="E31" s="1370"/>
      <c r="F31" s="1370"/>
      <c r="G31" s="1370"/>
      <c r="H31" s="1370"/>
      <c r="I31" s="1370"/>
      <c r="J31" s="1370"/>
      <c r="K31" s="1370"/>
      <c r="L31" s="1371"/>
      <c r="M31" s="1370"/>
      <c r="N31" s="1370"/>
      <c r="O31" s="137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328"/>
      <c r="AD31" s="2270" t="str">
        <f>IF(TITLE_NUMBER_PR_CHANGE="",IF(TITLE_NUMBER_PR="","",TITLE_NUMBER_PR),TITLE_NUMBER_PR_CHANGE)</f>
        <v/>
      </c>
      <c r="AE31" s="2270"/>
      <c r="AF31" s="2270"/>
      <c r="AG31" s="2270"/>
      <c r="AH31" s="2270"/>
      <c r="AI31" s="2270"/>
      <c r="AJ31" s="2270"/>
      <c r="AK31" s="328"/>
      <c r="AL31" s="328"/>
      <c r="AM31" s="282"/>
      <c r="AN31" s="370"/>
      <c r="AO31" s="370"/>
      <c r="AP31" s="370"/>
      <c r="AQ31" s="370"/>
      <c r="AR31" s="370"/>
      <c r="AS31" s="420">
        <v>0</v>
      </c>
    </row>
    <row s="1852" customFormat="1" customHeight="1" ht="18.75" hidden="1">
      <c r="A32" s="1370"/>
      <c r="B32" s="1370"/>
      <c r="C32" s="1370"/>
      <c r="D32" s="1370"/>
      <c r="E32" s="1370"/>
      <c r="F32" s="1370"/>
      <c r="G32" s="1370"/>
      <c r="H32" s="1370"/>
      <c r="I32" s="1370"/>
      <c r="J32" s="1370"/>
      <c r="K32" s="1370"/>
      <c r="L32" s="1371"/>
      <c r="M32" s="1370"/>
      <c r="N32" s="1370"/>
      <c r="O32" s="1370"/>
      <c r="S32" s="2268" t="s">
        <v>43</v>
      </c>
      <c r="T32" s="2268"/>
      <c r="U32" s="1374"/>
      <c r="V32" s="2270" t="str">
        <f>IF(TITLE_IST_PUB_CHANGE="",IF(TITLE_IST_PUB="","",TITLE_IST_PUB),TITLE_IST_PUB_CHANGE)</f>
        <v/>
      </c>
      <c r="W32" s="2270"/>
      <c r="X32" s="2270"/>
      <c r="Y32" s="2270"/>
      <c r="Z32" s="2270"/>
      <c r="AA32" s="2270"/>
      <c r="AB32" s="2270"/>
      <c r="AC32" s="328"/>
      <c r="AD32" s="2270" t="str">
        <f>IF(TITLE_IST_PUB_CHANGE="",IF(TITLE_IST_PUB="","",TITLE_IST_PUB),TITLE_IST_PUB_CHANGE)</f>
        <v/>
      </c>
      <c r="AE32" s="2270"/>
      <c r="AF32" s="2270"/>
      <c r="AG32" s="2270"/>
      <c r="AH32" s="2270"/>
      <c r="AI32" s="2270"/>
      <c r="AJ32" s="2270"/>
      <c r="AK32" s="328"/>
      <c r="AL32" s="328"/>
      <c r="AM32" s="282"/>
      <c r="AN32" s="370"/>
      <c r="AO32" s="370"/>
      <c r="AP32" s="370"/>
      <c r="AQ32" s="370"/>
      <c r="AR32" s="370"/>
      <c r="AS32" s="420">
        <v>0</v>
      </c>
    </row>
    <row customHeight="1" ht="14.25" hidden="1">
      <c r="Q33" s="378"/>
      <c r="R33" s="378"/>
      <c r="S33" s="1277"/>
      <c r="T33" s="459"/>
      <c r="U33" s="365"/>
      <c r="V33" s="324"/>
      <c r="W33" s="324"/>
      <c r="X33" s="324"/>
      <c r="Y33" s="324"/>
      <c r="Z33" s="324"/>
      <c r="AA33" s="324"/>
      <c r="AB33" s="324"/>
      <c r="AC33" s="324"/>
      <c r="AD33" s="324"/>
      <c r="AE33" s="324"/>
      <c r="AF33" s="324"/>
      <c r="AG33" s="324"/>
      <c r="AH33" s="324"/>
      <c r="AI33" s="324"/>
      <c r="AJ33" s="324"/>
      <c r="AK33" s="324"/>
      <c r="AL33" s="511"/>
      <c r="AS33" s="1157">
        <v>0</v>
      </c>
    </row>
    <row s="1852" customFormat="1" customHeight="1" ht="18.75" hidden="1">
      <c r="A34" s="1370"/>
      <c r="B34" s="1370"/>
      <c r="C34" s="1370"/>
      <c r="D34" s="1370"/>
      <c r="E34" s="1370"/>
      <c r="F34" s="1370"/>
      <c r="G34" s="1370"/>
      <c r="H34" s="1370"/>
      <c r="I34" s="1370"/>
      <c r="J34" s="1370"/>
      <c r="K34" s="1370"/>
      <c r="L34" s="1371"/>
      <c r="M34" s="1370"/>
      <c r="N34" s="1370"/>
      <c r="O34" s="137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328"/>
      <c r="AD34" s="2269" t="str">
        <f>IF(TITLE_DATE_PR_CHANGE="",IF(TITLE_DATE_PR="","",TITLE_DATE_PR),TITLE_DATE_PR_CHANGE)</f>
        <v/>
      </c>
      <c r="AE34" s="2269"/>
      <c r="AF34" s="2269"/>
      <c r="AG34" s="2269"/>
      <c r="AH34" s="2269"/>
      <c r="AI34" s="2269"/>
      <c r="AJ34" s="2269"/>
      <c r="AK34" s="328"/>
      <c r="AL34" s="328"/>
      <c r="AM34" s="282"/>
      <c r="AN34" s="370"/>
      <c r="AO34" s="370"/>
      <c r="AP34" s="370"/>
      <c r="AQ34" s="370"/>
      <c r="AR34" s="370"/>
      <c r="AS34" s="420">
        <v>0</v>
      </c>
    </row>
    <row s="1852" customFormat="1" customHeight="1" ht="18.75" hidden="1">
      <c r="A35" s="1370"/>
      <c r="B35" s="1370"/>
      <c r="C35" s="1370"/>
      <c r="D35" s="1370"/>
      <c r="E35" s="1370"/>
      <c r="F35" s="1370"/>
      <c r="G35" s="1370"/>
      <c r="H35" s="1370"/>
      <c r="I35" s="1370"/>
      <c r="J35" s="1370"/>
      <c r="K35" s="1370"/>
      <c r="L35" s="1371"/>
      <c r="M35" s="1370"/>
      <c r="N35" s="1370"/>
      <c r="O35" s="137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328"/>
      <c r="AD35" s="2270" t="str">
        <f>IF(TITLE_NUMBER_PR_CHANGE="",IF(TITLE_NUMBER_PR="","",TITLE_NUMBER_PR),TITLE_NUMBER_PR_CHANGE)</f>
        <v/>
      </c>
      <c r="AE35" s="2270"/>
      <c r="AF35" s="2270"/>
      <c r="AG35" s="2270"/>
      <c r="AH35" s="2270"/>
      <c r="AI35" s="2270"/>
      <c r="AJ35" s="2270"/>
      <c r="AK35" s="328"/>
      <c r="AL35" s="328"/>
      <c r="AM35" s="282"/>
      <c r="AN35" s="370"/>
      <c r="AO35" s="370"/>
      <c r="AP35" s="370"/>
      <c r="AQ35" s="370"/>
      <c r="AR35" s="370"/>
      <c r="AS35" s="420">
        <v>0</v>
      </c>
    </row>
    <row s="1852"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418</v>
      </c>
      <c r="AD36" s="328"/>
      <c r="AE36" s="328"/>
      <c r="AF36" s="328"/>
      <c r="AG36" s="328"/>
      <c r="AH36" s="328"/>
      <c r="AI36" s="328"/>
      <c r="AJ36" s="328"/>
      <c r="AK36" s="280" t="s">
        <v>418</v>
      </c>
      <c r="AN36" s="370"/>
      <c r="AO36" s="370"/>
      <c r="AP36" s="370"/>
      <c r="AQ36" s="370"/>
      <c r="AR36" s="370"/>
      <c r="AS36" s="420">
        <v>0</v>
      </c>
    </row>
    <row customHeight="1" ht="14.699999999999998">
      <c r="Q37" s="378"/>
      <c r="R37" s="378"/>
      <c r="S37" s="1277"/>
      <c r="T37" s="365"/>
      <c r="U37" s="1246"/>
      <c r="V37" s="2294"/>
      <c r="W37" s="2294"/>
      <c r="X37" s="2294"/>
      <c r="Y37" s="2294"/>
      <c r="Z37" s="2294"/>
      <c r="AA37" s="2294"/>
      <c r="AB37" s="2294"/>
      <c r="AC37" s="2294"/>
      <c r="AD37" s="2294"/>
      <c r="AE37" s="2294"/>
      <c r="AF37" s="2294"/>
      <c r="AG37" s="2294"/>
      <c r="AH37" s="2294"/>
      <c r="AI37" s="2294"/>
      <c r="AJ37" s="2294"/>
      <c r="AK37" s="2294"/>
      <c r="AS37" s="1157">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157">
        <v>14</v>
      </c>
    </row>
    <row customHeight="1" ht="14.699999999999998">
      <c r="Q39" s="378"/>
      <c r="R39" s="378"/>
      <c r="S39" s="2295" t="s">
        <v>88</v>
      </c>
      <c r="T39" s="2232" t="s">
        <v>419</v>
      </c>
      <c r="U39" s="303"/>
      <c r="V39" s="2296" t="s">
        <v>420</v>
      </c>
      <c r="W39" s="2297"/>
      <c r="X39" s="2318"/>
      <c r="Y39" s="2318"/>
      <c r="Z39" s="2297"/>
      <c r="AA39" s="2297"/>
      <c r="AB39" s="2298"/>
      <c r="AC39" s="2299" t="s">
        <v>421</v>
      </c>
      <c r="AD39" s="2296" t="s">
        <v>420</v>
      </c>
      <c r="AE39" s="2297"/>
      <c r="AF39" s="2318"/>
      <c r="AG39" s="2318"/>
      <c r="AH39" s="2297"/>
      <c r="AI39" s="2297"/>
      <c r="AJ39" s="2298"/>
      <c r="AK39" s="2299" t="s">
        <v>422</v>
      </c>
      <c r="AL39" s="2302" t="s">
        <v>423</v>
      </c>
      <c r="AM39" s="2140"/>
      <c r="AS39" s="1157">
        <v>14</v>
      </c>
    </row>
    <row customHeight="1" ht="24">
      <c r="Q40" s="378"/>
      <c r="R40" s="378"/>
      <c r="S40" s="2295"/>
      <c r="T40" s="2232"/>
      <c r="U40" s="1033"/>
      <c r="V40" s="2314" t="s">
        <v>424</v>
      </c>
      <c r="W40" s="2316" t="s">
        <v>425</v>
      </c>
      <c r="X40" s="1378" t="s">
        <v>426</v>
      </c>
      <c r="Y40" s="1378"/>
      <c r="Z40" s="2289" t="s">
        <v>427</v>
      </c>
      <c r="AA40" s="2289"/>
      <c r="AB40" s="2290"/>
      <c r="AC40" s="2300"/>
      <c r="AD40" s="2314" t="s">
        <v>424</v>
      </c>
      <c r="AE40" s="2316" t="s">
        <v>425</v>
      </c>
      <c r="AF40" s="1378" t="s">
        <v>426</v>
      </c>
      <c r="AG40" s="1378"/>
      <c r="AH40" s="2289" t="s">
        <v>427</v>
      </c>
      <c r="AI40" s="2289"/>
      <c r="AJ40" s="2290"/>
      <c r="AK40" s="2300"/>
      <c r="AL40" s="2303"/>
      <c r="AM40" s="2140"/>
      <c r="AS40" s="1157">
        <v>23</v>
      </c>
    </row>
    <row s="1268" customFormat="1" customHeight="1" ht="24">
      <c r="A41" s="1372"/>
      <c r="B41" s="1372" t="s">
        <v>132</v>
      </c>
      <c r="C41" s="1372" t="s">
        <v>133</v>
      </c>
      <c r="D41" s="1372" t="s">
        <v>134</v>
      </c>
      <c r="E41" s="1366" t="s">
        <v>428</v>
      </c>
      <c r="F41" s="1366" t="s">
        <v>429</v>
      </c>
      <c r="G41" s="1366" t="s">
        <v>430</v>
      </c>
      <c r="H41" s="1366" t="s">
        <v>431</v>
      </c>
      <c r="I41" s="1366" t="s">
        <v>432</v>
      </c>
      <c r="J41" s="1366" t="s">
        <v>433</v>
      </c>
      <c r="K41" s="1366" t="s">
        <v>434</v>
      </c>
      <c r="L41" s="1366" t="s">
        <v>413</v>
      </c>
      <c r="M41" s="1364"/>
      <c r="N41" s="1364"/>
      <c r="O41" s="1364"/>
      <c r="P41" s="1330"/>
      <c r="Q41" s="378"/>
      <c r="R41" s="378"/>
      <c r="S41" s="2295"/>
      <c r="T41" s="2232"/>
      <c r="U41" s="304"/>
      <c r="V41" s="2315"/>
      <c r="W41" s="2317"/>
      <c r="X41" s="1375" t="s">
        <v>435</v>
      </c>
      <c r="Y41" s="1375" t="s">
        <v>436</v>
      </c>
      <c r="Z41" s="1336" t="s">
        <v>437</v>
      </c>
      <c r="AA41" s="2291" t="s">
        <v>438</v>
      </c>
      <c r="AB41" s="2292"/>
      <c r="AC41" s="2301"/>
      <c r="AD41" s="2315"/>
      <c r="AE41" s="2317"/>
      <c r="AF41" s="1375" t="s">
        <v>435</v>
      </c>
      <c r="AG41" s="1375" t="s">
        <v>436</v>
      </c>
      <c r="AH41" s="1336" t="s">
        <v>437</v>
      </c>
      <c r="AI41" s="2291" t="s">
        <v>438</v>
      </c>
      <c r="AJ41" s="2292"/>
      <c r="AK41" s="2301"/>
      <c r="AL41" s="2304"/>
      <c r="AM41" s="2140"/>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106</v>
      </c>
      <c r="T42" s="1257" t="s">
        <v>107</v>
      </c>
      <c r="U42" s="1247" t="str">
        <f>OFFSET(U42,0,-1)</f>
        <v>2</v>
      </c>
      <c r="V42" s="1337">
        <f>OFFSET(V42,0,-1)+1</f>
        <v>3</v>
      </c>
      <c r="W42" s="1337"/>
      <c r="X42" s="1343">
        <f>OFFSET(X42,0,-1)+1</f>
        <v>1</v>
      </c>
      <c r="Y42" s="1343">
        <f>OFFSET(Y42,0,-1)+1</f>
        <v>2</v>
      </c>
      <c r="Z42" s="1337">
        <f>OFFSET(Z42,0,-1)+1</f>
        <v>3</v>
      </c>
      <c r="AA42" s="2293">
        <f>OFFSET(AA42,0,-1)+1</f>
        <v>4</v>
      </c>
      <c r="AB42" s="2293"/>
      <c r="AC42" s="1337">
        <f>OFFSET(AC42,0,-2)+1</f>
        <v>5</v>
      </c>
      <c r="AD42" s="1337">
        <f>OFFSET(AD42,0,-1)+1</f>
        <v>6</v>
      </c>
      <c r="AE42" s="1337"/>
      <c r="AF42" s="1343">
        <f>OFFSET(AF42,0,-1)+1</f>
        <v>1</v>
      </c>
      <c r="AG42" s="1343">
        <f>OFFSET(AG42,0,-1)+1</f>
        <v>2</v>
      </c>
      <c r="AH42" s="1337">
        <f>OFFSET(AH42,0,-1)+1</f>
        <v>3</v>
      </c>
      <c r="AI42" s="2293">
        <f>OFFSET(AI42,0,-1)+1</f>
        <v>4</v>
      </c>
      <c r="AJ42" s="2293"/>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77">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189</v>
      </c>
      <c r="B44" s="1365" t="s">
        <v>190</v>
      </c>
      <c r="C44" s="1365"/>
      <c r="D44" s="1365"/>
      <c r="E44" s="2278"/>
      <c r="F44" s="2277">
        <v>1</v>
      </c>
      <c r="G44" s="1365"/>
      <c r="H44" s="1365"/>
      <c r="I44" s="1365"/>
      <c r="J44" s="1365"/>
      <c r="K44" s="1365"/>
      <c r="L44" s="1366"/>
      <c r="M44" s="1367"/>
      <c r="N44" s="1367"/>
      <c r="O44" s="1367"/>
      <c r="P44" s="1334"/>
      <c r="Q44" s="354"/>
      <c r="R44" s="355"/>
      <c r="S44" s="1338" t="str">
        <f>INDEX(PT_DIFFERENTIATION_NUM_TER,MATCH(B44,PT_DIFFERENTIATION_TER_ID,0))</f>
        <v>.</v>
      </c>
      <c r="T44" s="310"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502"/>
      <c r="AP44" s="502" t="str">
        <f>IF(T44="","",T44)</f>
        <v>Территория действия тарифа</v>
      </c>
      <c r="AQ44" s="502"/>
      <c r="AR44" s="502"/>
      <c r="AS44" s="1157">
        <v>21</v>
      </c>
    </row>
    <row customHeight="1" ht="24">
      <c r="A45" s="1365" t="s">
        <v>189</v>
      </c>
      <c r="B45" s="1365" t="s">
        <v>190</v>
      </c>
      <c r="C45" s="1365" t="s">
        <v>191</v>
      </c>
      <c r="D45" s="1365"/>
      <c r="E45" s="2278"/>
      <c r="F45" s="2278"/>
      <c r="G45" s="2277">
        <v>1</v>
      </c>
      <c r="H45" s="1365"/>
      <c r="I45" s="1365"/>
      <c r="J45" s="1365"/>
      <c r="K45" s="1365"/>
      <c r="L45" s="1366"/>
      <c r="M45" s="1367"/>
      <c r="N45" s="1367"/>
      <c r="O45" s="1367"/>
      <c r="P45" s="356"/>
      <c r="Q45" s="354"/>
      <c r="R45" s="355"/>
      <c r="S45" s="1338"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78"/>
      <c r="F46" s="2278"/>
      <c r="G46" s="2278"/>
      <c r="H46" s="2277">
        <v>1</v>
      </c>
      <c r="I46" s="1365"/>
      <c r="J46" s="1365"/>
      <c r="K46" s="1365"/>
      <c r="L46" s="1366"/>
      <c r="M46" s="1367"/>
      <c r="N46" s="1367"/>
      <c r="O46" s="1367"/>
      <c r="P46" s="356"/>
      <c r="Q46" s="354"/>
      <c r="R46" s="355"/>
      <c r="S46" s="1338"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502"/>
      <c r="AP46" s="502" t="str">
        <f>IF(T46="","",T46)</f>
        <v>Источник тепловой энергии  </v>
      </c>
      <c r="AQ46" s="502"/>
      <c r="AR46" s="502"/>
      <c r="AS46" s="1157">
        <v>21</v>
      </c>
    </row>
    <row customHeight="1" ht="49.5">
      <c r="A47" s="1365" t="s">
        <v>189</v>
      </c>
      <c r="B47" s="1365" t="s">
        <v>190</v>
      </c>
      <c r="C47" s="1365" t="s">
        <v>191</v>
      </c>
      <c r="D47" s="1365" t="s">
        <v>192</v>
      </c>
      <c r="E47" s="2278"/>
      <c r="F47" s="2278"/>
      <c r="G47" s="2278"/>
      <c r="H47" s="2278"/>
      <c r="I47" s="2279" t="str">
        <f>S46&amp;".1"</f>
        <v>....1</v>
      </c>
      <c r="J47" s="1365"/>
      <c r="K47" s="1365"/>
      <c r="L47" s="1366" t="s">
        <v>398</v>
      </c>
      <c r="P47" s="2281">
        <v>1</v>
      </c>
      <c r="Q47" s="1333"/>
      <c r="R47" s="358"/>
      <c r="S47" s="1338" t="str">
        <f>$I47</f>
        <v>....1</v>
      </c>
      <c r="T47" s="287" t="s">
        <v>399</v>
      </c>
      <c r="U47" s="302"/>
      <c r="V47" s="2265"/>
      <c r="W47" s="2266"/>
      <c r="X47" s="2266"/>
      <c r="Y47" s="2266"/>
      <c r="Z47" s="2266"/>
      <c r="AA47" s="2266"/>
      <c r="AB47" s="2266"/>
      <c r="AC47" s="2267"/>
      <c r="AD47" s="2265"/>
      <c r="AE47" s="2266"/>
      <c r="AF47" s="2266"/>
      <c r="AG47" s="2266"/>
      <c r="AH47" s="2266"/>
      <c r="AI47" s="2266"/>
      <c r="AJ47" s="2266"/>
      <c r="AK47" s="2266"/>
      <c r="AL47" s="2267"/>
      <c r="AM47" s="1260" t="s">
        <v>400</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189</v>
      </c>
      <c r="B48" s="1365" t="s">
        <v>190</v>
      </c>
      <c r="C48" s="1365" t="s">
        <v>191</v>
      </c>
      <c r="D48" s="1365" t="s">
        <v>192</v>
      </c>
      <c r="E48" s="2278"/>
      <c r="F48" s="2278"/>
      <c r="G48" s="2278"/>
      <c r="H48" s="2278"/>
      <c r="I48" s="2280"/>
      <c r="J48" s="2279" t="str">
        <f>I47&amp;".1"</f>
        <v>....1.1</v>
      </c>
      <c r="K48" s="1365"/>
      <c r="L48" s="1366" t="s">
        <v>401</v>
      </c>
      <c r="P48" s="2281"/>
      <c r="Q48" s="2281">
        <v>1</v>
      </c>
      <c r="R48" s="359"/>
      <c r="S48" s="1338" t="str">
        <f>$J48</f>
        <v>....1.1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78"/>
      <c r="F49" s="2278"/>
      <c r="G49" s="2278"/>
      <c r="H49" s="2278"/>
      <c r="I49" s="2280"/>
      <c r="J49" s="2280"/>
      <c r="K49" s="2279" t="str">
        <f>J48&amp;".1"</f>
        <v>....1.1.1</v>
      </c>
      <c r="L49" s="1366" t="s">
        <v>404</v>
      </c>
      <c r="P49" s="2281"/>
      <c r="Q49" s="2281"/>
      <c r="R49" s="359">
        <v>1</v>
      </c>
      <c r="S49" s="1338" t="str">
        <f>$K49</f>
        <v>....1.1.1</v>
      </c>
      <c r="T49" s="1349"/>
      <c r="U49" s="302"/>
      <c r="V49" s="327"/>
      <c r="W49" s="753"/>
      <c r="X49" s="327"/>
      <c r="Y49" s="386"/>
      <c r="Z49" s="2282"/>
      <c r="AA49" s="2150" t="s">
        <v>65</v>
      </c>
      <c r="AB49" s="2282"/>
      <c r="AC49" s="2150" t="s">
        <v>65</v>
      </c>
      <c r="AD49" s="327"/>
      <c r="AE49" s="753"/>
      <c r="AF49" s="327"/>
      <c r="AG49" s="386"/>
      <c r="AH49" s="2282"/>
      <c r="AI49" s="2150" t="s">
        <v>65</v>
      </c>
      <c r="AJ49" s="2284"/>
      <c r="AK49" s="2150" t="s">
        <v>65</v>
      </c>
      <c r="AL49" s="1350"/>
      <c r="AM49" s="2307" t="s">
        <v>405</v>
      </c>
      <c r="AN49" s="513">
        <f>STRCHECKDATE(V50:AL50)</f>
      </c>
      <c r="AO49" s="502"/>
      <c r="AP49" s="502" t="str">
        <f>IF(T49="","",T49)</f>
        <v/>
      </c>
      <c r="AQ49" s="502"/>
      <c r="AR49" s="502"/>
      <c r="AS49" s="1157">
        <v>21</v>
      </c>
    </row>
    <row customHeight="1" ht="1.05">
      <c r="A50" s="1365" t="s">
        <v>189</v>
      </c>
      <c r="B50" s="1365" t="s">
        <v>190</v>
      </c>
      <c r="C50" s="1365" t="s">
        <v>191</v>
      </c>
      <c r="D50" s="1365" t="s">
        <v>192</v>
      </c>
      <c r="E50" s="2278"/>
      <c r="F50" s="2278"/>
      <c r="G50" s="2278"/>
      <c r="H50" s="2278"/>
      <c r="I50" s="2280"/>
      <c r="J50" s="2280"/>
      <c r="K50" s="2279"/>
      <c r="L50" s="1366"/>
      <c r="P50" s="2281"/>
      <c r="Q50" s="2281"/>
      <c r="R50" s="359"/>
      <c r="S50" s="1344"/>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502"/>
      <c r="AP50" s="502" t="str">
        <f>IF(T50="","",T50)</f>
        <v/>
      </c>
      <c r="AQ50" s="502"/>
      <c r="AR50" s="502"/>
      <c r="AS50" s="1157">
        <v>1</v>
      </c>
    </row>
    <row customHeight="1" ht="11.549999999999999">
      <c r="A51" s="1365" t="s">
        <v>189</v>
      </c>
      <c r="B51" s="1365" t="s">
        <v>190</v>
      </c>
      <c r="C51" s="1365" t="s">
        <v>191</v>
      </c>
      <c r="D51" s="1365" t="s">
        <v>192</v>
      </c>
      <c r="E51" s="2278"/>
      <c r="F51" s="2278"/>
      <c r="G51" s="2278"/>
      <c r="H51" s="2278"/>
      <c r="I51" s="2280"/>
      <c r="J51" s="2279"/>
      <c r="K51" s="1365"/>
      <c r="L51" s="1366"/>
      <c r="P51" s="2281"/>
      <c r="Q51" s="2281"/>
      <c r="R51" s="358"/>
      <c r="S51" s="1280"/>
      <c r="T51" s="290" t="s">
        <v>406</v>
      </c>
      <c r="U51" s="369"/>
      <c r="V51" s="369"/>
      <c r="W51" s="369"/>
      <c r="X51" s="369"/>
      <c r="Y51" s="369"/>
      <c r="Z51" s="369"/>
      <c r="AA51" s="369"/>
      <c r="AB51" s="369"/>
      <c r="AC51" s="369"/>
      <c r="AD51" s="369"/>
      <c r="AE51" s="369"/>
      <c r="AF51" s="369"/>
      <c r="AG51" s="369"/>
      <c r="AH51" s="369"/>
      <c r="AI51" s="369"/>
      <c r="AJ51" s="369"/>
      <c r="AK51" s="369"/>
      <c r="AL51" s="326"/>
      <c r="AM51" s="2309"/>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78"/>
      <c r="F52" s="2278"/>
      <c r="G52" s="2278"/>
      <c r="H52" s="2278"/>
      <c r="I52" s="2279"/>
      <c r="J52" s="1365"/>
      <c r="K52" s="1365"/>
      <c r="L52" s="1366"/>
      <c r="P52" s="2281"/>
      <c r="Q52" s="1333"/>
      <c r="R52" s="358"/>
      <c r="S52" s="1280"/>
      <c r="T52" s="289" t="s">
        <v>407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189</v>
      </c>
      <c r="B53" s="1365" t="s">
        <v>190</v>
      </c>
      <c r="C53" s="1365" t="s">
        <v>191</v>
      </c>
      <c r="D53" s="1365" t="s">
        <v>192</v>
      </c>
      <c r="E53" s="2278"/>
      <c r="F53" s="2278"/>
      <c r="G53" s="2278"/>
      <c r="H53" s="2277"/>
      <c r="I53" s="1365"/>
      <c r="J53" s="1365"/>
      <c r="K53" s="1365"/>
      <c r="L53" s="1366"/>
      <c r="M53" s="1367"/>
      <c r="N53" s="1367"/>
      <c r="O53" s="539"/>
      <c r="P53" s="362"/>
      <c r="Q53" s="377"/>
      <c r="R53" s="357"/>
      <c r="S53" s="1280"/>
      <c r="T53" s="367" t="s">
        <v>408</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189</v>
      </c>
      <c r="B54" s="1345" t="s">
        <v>190</v>
      </c>
      <c r="C54" s="1345" t="s">
        <v>191</v>
      </c>
      <c r="D54" s="1316"/>
      <c r="E54" s="2278"/>
      <c r="F54" s="2278"/>
      <c r="G54" s="2277"/>
      <c r="H54" s="1316"/>
      <c r="I54" s="1316"/>
      <c r="J54" s="1316"/>
      <c r="K54" s="1316"/>
      <c r="L54" s="1341"/>
      <c r="M54" s="1317"/>
      <c r="N54" s="131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78"/>
      <c r="F55" s="2277"/>
      <c r="G55" s="1316"/>
      <c r="H55" s="1316"/>
      <c r="I55" s="1316"/>
      <c r="J55" s="1316"/>
      <c r="K55" s="1316"/>
      <c r="L55" s="1341"/>
      <c r="M55" s="1323"/>
      <c r="N55" s="132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77"/>
      <c r="F56" s="1345"/>
      <c r="G56" s="1345"/>
      <c r="H56" s="1345"/>
      <c r="I56" s="1345"/>
      <c r="J56" s="1345"/>
      <c r="K56" s="1345"/>
      <c r="L56" s="1348"/>
      <c r="M56" s="1323"/>
      <c r="N56" s="1323"/>
      <c r="O56" s="520"/>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157">
        <v>27</v>
      </c>
    </row>
    <row customHeight="1" ht="78.75">
      <c r="O60" s="539"/>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157">
        <v>75</v>
      </c>
    </row>
    <row customHeight="1" ht="14.699999999999998">
      <c r="O61" s="539"/>
      <c r="AS61" s="1157">
        <v>14</v>
      </c>
    </row>
    <row customHeight="1" ht="18.75">
      <c r="O62" s="539"/>
      <c r="S62" s="1255"/>
      <c r="T62" s="2276"/>
      <c r="U62" s="2276"/>
      <c r="V62" s="2276"/>
      <c r="W62" s="2276"/>
      <c r="X62" s="2276"/>
      <c r="Y62" s="2276"/>
      <c r="Z62" s="2276"/>
      <c r="AA62" s="2276"/>
      <c r="AB62" s="2276"/>
      <c r="AC62" s="2276"/>
      <c r="AD62" s="2276"/>
      <c r="AE62" s="2276"/>
      <c r="AF62" s="2276"/>
      <c r="AG62" s="2276"/>
      <c r="AH62" s="2276"/>
      <c r="AI62" s="2276"/>
      <c r="AJ62" s="2276"/>
      <c r="AK62" s="2276"/>
      <c r="AL62" s="2276"/>
      <c r="AM62" s="2276"/>
      <c r="AS62" s="1157">
        <v>18</v>
      </c>
    </row>
    <row customHeight="1" ht="18.75">
      <c r="O63" s="539"/>
      <c r="T63" s="2276"/>
      <c r="U63" s="2276"/>
      <c r="V63" s="2276"/>
      <c r="W63" s="2276"/>
      <c r="X63" s="2276"/>
      <c r="Y63" s="2276"/>
      <c r="Z63" s="2276"/>
      <c r="AA63" s="2276"/>
      <c r="AB63" s="2276"/>
      <c r="AC63" s="2276"/>
      <c r="AD63" s="2276"/>
      <c r="AE63" s="2276"/>
      <c r="AF63" s="2276"/>
      <c r="AG63" s="2276"/>
      <c r="AH63" s="2276"/>
      <c r="AI63" s="2276"/>
      <c r="AJ63" s="2276"/>
      <c r="AK63" s="2276"/>
      <c r="AL63" s="2276"/>
      <c r="AM63" s="2276"/>
      <c r="AS63" s="1157">
        <v>18</v>
      </c>
    </row>
    <row customHeight="1" ht="39.75">
      <c r="O64" s="539"/>
      <c r="S64" s="1255"/>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905B8-4618-F5D3-9C58-52F557F96A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2420" width="3.7109375" hidden="1" customWidth="1"/>
    <col min="17" max="18" style="346" width="3.00390625" customWidth="1"/>
    <col min="19" max="19" style="2433"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77">
        <v>1</v>
      </c>
      <c r="F2" s="1365"/>
      <c r="G2" s="1365"/>
      <c r="H2" s="1365"/>
      <c r="I2" s="1365"/>
      <c r="J2" s="1365"/>
      <c r="K2" s="1365"/>
      <c r="L2" s="1366"/>
      <c r="M2" s="1367"/>
      <c r="N2" s="1367"/>
      <c r="O2" s="1367"/>
      <c r="P2" s="363"/>
      <c r="Q2" s="362"/>
      <c r="R2" s="357"/>
      <c r="S2" s="1338">
        <f>INDEX(PT_DIFFERENTIATION_NUM_NTAR,MATCH(A2,PT_DIFFERENTIATION_NTAR_ID,0))</f>
      </c>
      <c r="T2" s="300"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502"/>
      <c r="AP2" s="502" t="str">
        <f>IF(T2="","",T2)</f>
        <v>Наименование тарифа</v>
      </c>
      <c r="AQ2" s="502"/>
      <c r="AR2" s="502"/>
      <c r="AS2" s="1157">
        <v>0</v>
      </c>
    </row>
    <row customHeight="1" ht="21" hidden="1">
      <c r="A3" s="1365"/>
      <c r="B3" s="1365"/>
      <c r="C3" s="1365"/>
      <c r="D3" s="1365"/>
      <c r="E3" s="2278"/>
      <c r="F3" s="2277">
        <v>1</v>
      </c>
      <c r="G3" s="1365"/>
      <c r="H3" s="1365"/>
      <c r="I3" s="1365"/>
      <c r="J3" s="1365"/>
      <c r="K3" s="1365"/>
      <c r="L3" s="1366"/>
      <c r="M3" s="1367"/>
      <c r="N3" s="1367"/>
      <c r="O3" s="1367"/>
      <c r="P3" s="1334"/>
      <c r="Q3" s="354"/>
      <c r="R3" s="355"/>
      <c r="S3" s="1338">
        <f>INDEX(PT_DIFFERENTIATION_NUM_TER,MATCH(B3,PT_DIFFERENTIATION_TER_ID,0))</f>
      </c>
      <c r="T3" s="310"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502"/>
      <c r="AP3" s="502" t="str">
        <f>IF(T3="","",T3)</f>
        <v>Территория действия тарифа</v>
      </c>
      <c r="AQ3" s="502"/>
      <c r="AR3" s="502"/>
      <c r="AS3" s="1157">
        <v>0</v>
      </c>
    </row>
    <row customHeight="1" ht="23.25" hidden="1">
      <c r="A4" s="1365"/>
      <c r="B4" s="1365"/>
      <c r="C4" s="1365"/>
      <c r="D4" s="1365"/>
      <c r="E4" s="2278"/>
      <c r="F4" s="2278"/>
      <c r="G4" s="2277">
        <v>1</v>
      </c>
      <c r="H4" s="1365"/>
      <c r="I4" s="1365"/>
      <c r="J4" s="1365"/>
      <c r="K4" s="1365"/>
      <c r="L4" s="1366"/>
      <c r="M4" s="1367"/>
      <c r="N4" s="1367"/>
      <c r="O4" s="1367"/>
      <c r="P4" s="356"/>
      <c r="Q4" s="354"/>
      <c r="R4" s="355"/>
      <c r="S4" s="1338">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502"/>
      <c r="AP4" s="502" t="str">
        <f>IF(T4="","",T4)</f>
        <v>Наименование системы теплоснабжения </v>
      </c>
      <c r="AQ4" s="502"/>
      <c r="AR4" s="502"/>
      <c r="AS4" s="1157">
        <v>0</v>
      </c>
    </row>
    <row customHeight="1" ht="21" hidden="1">
      <c r="A5" s="1365"/>
      <c r="B5" s="1365"/>
      <c r="C5" s="1365"/>
      <c r="D5" s="1365"/>
      <c r="E5" s="2278"/>
      <c r="F5" s="2278"/>
      <c r="G5" s="2278"/>
      <c r="H5" s="2277">
        <v>1</v>
      </c>
      <c r="I5" s="1365"/>
      <c r="J5" s="1365"/>
      <c r="K5" s="1365"/>
      <c r="L5" s="1366"/>
      <c r="M5" s="1367"/>
      <c r="N5" s="1367"/>
      <c r="O5" s="1367"/>
      <c r="P5" s="356"/>
      <c r="Q5" s="354"/>
      <c r="R5" s="355"/>
      <c r="S5" s="1338">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502"/>
      <c r="AP5" s="502" t="str">
        <f>IF(T5="","",T5)</f>
        <v>Источник тепловой энергии  </v>
      </c>
      <c r="AQ5" s="502"/>
      <c r="AR5" s="502"/>
      <c r="AS5" s="1157">
        <v>0</v>
      </c>
    </row>
    <row customHeight="1" ht="14.25" hidden="1">
      <c r="A6" s="1365"/>
      <c r="B6" s="1365"/>
      <c r="C6" s="1365"/>
      <c r="D6" s="1365"/>
      <c r="E6" s="2278"/>
      <c r="F6" s="2278"/>
      <c r="G6" s="2278"/>
      <c r="H6" s="2278"/>
      <c r="I6" s="2279">
        <f>S5&amp;".1"</f>
      </c>
      <c r="J6" s="1365"/>
      <c r="K6" s="1365"/>
      <c r="L6" s="1366" t="s">
        <v>398</v>
      </c>
      <c r="M6" s="539"/>
      <c r="P6" s="2281">
        <v>1</v>
      </c>
      <c r="Q6" s="1333"/>
      <c r="R6" s="358"/>
      <c r="S6" s="1044"/>
      <c r="T6" s="1385"/>
      <c r="U6" s="1386"/>
      <c r="V6" s="2319"/>
      <c r="W6" s="2320"/>
      <c r="X6" s="2320"/>
      <c r="Y6" s="2320"/>
      <c r="Z6" s="2320"/>
      <c r="AA6" s="2320"/>
      <c r="AB6" s="2320"/>
      <c r="AC6" s="2321"/>
      <c r="AD6" s="2319"/>
      <c r="AE6" s="2320"/>
      <c r="AF6" s="2320"/>
      <c r="AG6" s="2320"/>
      <c r="AH6" s="2320"/>
      <c r="AI6" s="2320"/>
      <c r="AJ6" s="2320"/>
      <c r="AK6" s="2320"/>
      <c r="AL6" s="2321"/>
      <c r="AM6" s="1387"/>
      <c r="AO6" s="502"/>
      <c r="AP6" s="502" t="str">
        <f>IF(T6="","",T6)</f>
        <v/>
      </c>
      <c r="AQ6" s="502"/>
      <c r="AR6" s="502"/>
      <c r="AS6" s="1157">
        <v>0</v>
      </c>
    </row>
    <row customHeight="1" ht="21" hidden="1">
      <c r="A7" s="1365"/>
      <c r="B7" s="1365"/>
      <c r="C7" s="1365"/>
      <c r="D7" s="1365"/>
      <c r="E7" s="2278"/>
      <c r="F7" s="2278"/>
      <c r="G7" s="2278"/>
      <c r="H7" s="2278"/>
      <c r="I7" s="2280"/>
      <c r="J7" s="2279">
        <f>I6&amp;".1"</f>
      </c>
      <c r="K7" s="1365"/>
      <c r="L7" s="1366" t="s">
        <v>401</v>
      </c>
      <c r="M7" s="539"/>
      <c r="N7" s="1368"/>
      <c r="P7" s="2281"/>
      <c r="Q7" s="2281">
        <v>1</v>
      </c>
      <c r="R7" s="359"/>
      <c r="S7" s="1338">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502"/>
      <c r="AP7" s="502" t="str">
        <f>IF(T7="","",T7)</f>
        <v>Группа потребителей</v>
      </c>
      <c r="AQ7" s="502"/>
      <c r="AR7" s="502"/>
      <c r="AS7" s="1157">
        <v>0</v>
      </c>
    </row>
    <row customHeight="1" ht="21" hidden="1">
      <c r="A8" s="1365"/>
      <c r="B8" s="1365"/>
      <c r="C8" s="1365"/>
      <c r="D8" s="1365"/>
      <c r="E8" s="2278"/>
      <c r="F8" s="2278"/>
      <c r="G8" s="2278"/>
      <c r="H8" s="2278"/>
      <c r="I8" s="2280"/>
      <c r="J8" s="2280"/>
      <c r="K8" s="2279">
        <f>J7&amp;".1"</f>
      </c>
      <c r="L8" s="1366" t="s">
        <v>404</v>
      </c>
      <c r="M8" s="539"/>
      <c r="N8" s="1368"/>
      <c r="O8" s="1368"/>
      <c r="P8" s="2281"/>
      <c r="Q8" s="2281"/>
      <c r="R8" s="359">
        <v>1</v>
      </c>
      <c r="S8" s="1338">
        <f>$K8</f>
      </c>
      <c r="T8" s="1349"/>
      <c r="U8" s="302"/>
      <c r="V8" s="753"/>
      <c r="W8" s="327"/>
      <c r="X8" s="753"/>
      <c r="Y8" s="1259"/>
      <c r="Z8" s="2282"/>
      <c r="AA8" s="2150" t="s">
        <v>65</v>
      </c>
      <c r="AB8" s="2282"/>
      <c r="AC8" s="2150" t="s">
        <v>65</v>
      </c>
      <c r="AD8" s="753"/>
      <c r="AE8" s="327"/>
      <c r="AF8" s="753"/>
      <c r="AG8" s="1259"/>
      <c r="AH8" s="2282"/>
      <c r="AI8" s="2150" t="s">
        <v>65</v>
      </c>
      <c r="AJ8" s="2282"/>
      <c r="AK8" s="2150" t="s">
        <v>65</v>
      </c>
      <c r="AL8" s="327"/>
      <c r="AM8" s="2307" t="s">
        <v>405</v>
      </c>
      <c r="AN8" s="513">
        <f>STRCHECKDATE(V9:AL9)</f>
      </c>
      <c r="AO8" s="502"/>
      <c r="AP8" s="502" t="str">
        <f>IF(T8="","",T8)</f>
        <v/>
      </c>
      <c r="AQ8" s="502"/>
      <c r="AR8" s="502"/>
      <c r="AS8" s="1157">
        <v>0</v>
      </c>
    </row>
    <row customHeight="1" ht="0.75" hidden="1">
      <c r="A9" s="1365"/>
      <c r="B9" s="1365"/>
      <c r="C9" s="1365"/>
      <c r="D9" s="1365"/>
      <c r="E9" s="2278"/>
      <c r="F9" s="2278"/>
      <c r="G9" s="2278"/>
      <c r="H9" s="2278"/>
      <c r="I9" s="2280"/>
      <c r="J9" s="2280"/>
      <c r="K9" s="2279"/>
      <c r="L9" s="1366"/>
      <c r="M9" s="539"/>
      <c r="N9" s="1368"/>
      <c r="O9" s="1368"/>
      <c r="P9" s="2281"/>
      <c r="Q9" s="2281"/>
      <c r="R9" s="359"/>
      <c r="S9" s="1344"/>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502"/>
      <c r="AP9" s="502" t="str">
        <f>IF(T9="","",T9)</f>
        <v/>
      </c>
      <c r="AQ9" s="502"/>
      <c r="AR9" s="502"/>
      <c r="AS9" s="1157">
        <v>0</v>
      </c>
    </row>
    <row customHeight="1" ht="15" hidden="1">
      <c r="A10" s="1365"/>
      <c r="B10" s="1365"/>
      <c r="C10" s="1365"/>
      <c r="D10" s="1365"/>
      <c r="E10" s="2278"/>
      <c r="F10" s="2278"/>
      <c r="G10" s="2278"/>
      <c r="H10" s="2278"/>
      <c r="I10" s="2280"/>
      <c r="J10" s="2279"/>
      <c r="K10" s="1365"/>
      <c r="L10" s="1366"/>
      <c r="M10" s="539"/>
      <c r="N10" s="1368"/>
      <c r="P10" s="2281"/>
      <c r="Q10" s="2281"/>
      <c r="R10" s="358"/>
      <c r="S10" s="1280"/>
      <c r="T10" s="289" t="s">
        <v>406</v>
      </c>
      <c r="U10" s="369"/>
      <c r="V10" s="369"/>
      <c r="W10" s="369"/>
      <c r="X10" s="369"/>
      <c r="Y10" s="369"/>
      <c r="Z10" s="369"/>
      <c r="AA10" s="369"/>
      <c r="AB10" s="369"/>
      <c r="AC10" s="369"/>
      <c r="AD10" s="369"/>
      <c r="AE10" s="369"/>
      <c r="AF10" s="369"/>
      <c r="AG10" s="369"/>
      <c r="AH10" s="369"/>
      <c r="AI10" s="369"/>
      <c r="AJ10" s="369"/>
      <c r="AK10" s="369"/>
      <c r="AL10" s="326"/>
      <c r="AM10" s="2309"/>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78"/>
      <c r="F11" s="2278"/>
      <c r="G11" s="2278"/>
      <c r="H11" s="2278"/>
      <c r="I11" s="2279"/>
      <c r="J11" s="1365"/>
      <c r="K11" s="1365"/>
      <c r="L11" s="1366"/>
      <c r="M11" s="539"/>
      <c r="P11" s="2281"/>
      <c r="Q11" s="1333"/>
      <c r="R11" s="358"/>
      <c r="S11" s="1280"/>
      <c r="T11" s="367" t="s">
        <v>407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78"/>
      <c r="F12" s="2278"/>
      <c r="G12" s="2278"/>
      <c r="H12" s="2277"/>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78"/>
      <c r="F13" s="2278"/>
      <c r="G13" s="2277"/>
      <c r="H13" s="1316"/>
      <c r="I13" s="1316"/>
      <c r="J13" s="1316"/>
      <c r="K13" s="1316"/>
      <c r="L13" s="1341"/>
      <c r="M13" s="1317"/>
      <c r="N13" s="131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78"/>
      <c r="F14" s="2277"/>
      <c r="G14" s="1316"/>
      <c r="H14" s="1316"/>
      <c r="I14" s="1316"/>
      <c r="J14" s="1316"/>
      <c r="K14" s="1316"/>
      <c r="L14" s="1341"/>
      <c r="M14" s="1323"/>
      <c r="N14" s="132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77"/>
      <c r="F15" s="1316"/>
      <c r="G15" s="1316"/>
      <c r="H15" s="1316"/>
      <c r="I15" s="1316"/>
      <c r="J15" s="1316"/>
      <c r="K15" s="1316"/>
      <c r="L15" s="1341"/>
      <c r="M15" s="1323"/>
      <c r="N15" s="132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75"/>
      <c r="AI17" s="2274" t="s">
        <v>65</v>
      </c>
      <c r="AJ17" s="2275"/>
      <c r="AK17" s="2274" t="s">
        <v>65</v>
      </c>
      <c r="AS17" s="1157">
        <v>0</v>
      </c>
    </row>
    <row customHeight="1" ht="14.25" hidden="1">
      <c r="AD18" s="1362"/>
      <c r="AE18" s="1362"/>
      <c r="AF18" s="1362"/>
      <c r="AG18" s="330" t="str">
        <f>AH17&amp;"-"&amp;AJ17</f>
        <v>-</v>
      </c>
      <c r="AH18" s="2274"/>
      <c r="AI18" s="2274"/>
      <c r="AJ18" s="2274"/>
      <c r="AK18" s="2274"/>
      <c r="AS18" s="1157">
        <v>0</v>
      </c>
    </row>
    <row customHeight="1" ht="14.25" hidden="1">
      <c r="AK19" s="329"/>
      <c r="AS19" s="1157">
        <v>0</v>
      </c>
    </row>
    <row s="1368" customFormat="1" customHeight="1" ht="22.5" hidden="1">
      <c r="L20" s="1331"/>
      <c r="M20" s="1364"/>
      <c r="N20" s="1364"/>
      <c r="O20" s="1369" t="s">
        <v>412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413</v>
      </c>
      <c r="P22" s="1364"/>
      <c r="Q22" s="1373"/>
      <c r="R22" s="1373"/>
      <c r="S22" s="731"/>
      <c r="T22" s="1162" t="s">
        <v>414</v>
      </c>
      <c r="AA22" s="188" t="s">
        <v>415</v>
      </c>
      <c r="AC22" s="188" t="s">
        <v>416</v>
      </c>
      <c r="AD22" s="1162" t="s">
        <v>414</v>
      </c>
      <c r="AI22" s="188" t="s">
        <v>417</v>
      </c>
      <c r="AK22" s="188" t="s">
        <v>416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5"/>
      <c r="AS26" s="1157">
        <v>60</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2" customFormat="1" customHeight="1" ht="25.5" hidden="1">
      <c r="A29" s="1370"/>
      <c r="B29" s="1370"/>
      <c r="C29" s="1370"/>
      <c r="D29" s="1370"/>
      <c r="E29" s="1370"/>
      <c r="F29" s="1370"/>
      <c r="G29" s="1370"/>
      <c r="H29" s="1370"/>
      <c r="I29" s="1370"/>
      <c r="J29" s="1370"/>
      <c r="K29" s="1370"/>
      <c r="L29" s="1371"/>
      <c r="M29" s="1370"/>
      <c r="N29" s="1370"/>
      <c r="O29" s="137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328"/>
      <c r="AD29" s="2270" t="str">
        <f>IF(TITLE_NAME_OR_PR_CHANGE="",IF(TITLE_NAME_OR_PR="","",TITLE_NAME_OR_PR),TITLE_NAME_OR_PR_CHANGE)</f>
        <v/>
      </c>
      <c r="AE29" s="2270"/>
      <c r="AF29" s="2270"/>
      <c r="AG29" s="2270"/>
      <c r="AH29" s="2270"/>
      <c r="AI29" s="2270"/>
      <c r="AJ29" s="2270"/>
      <c r="AK29" s="328"/>
      <c r="AL29" s="328"/>
      <c r="AM29" s="282"/>
      <c r="AN29" s="370"/>
      <c r="AO29" s="370"/>
      <c r="AP29" s="370"/>
      <c r="AQ29" s="370"/>
      <c r="AR29" s="370"/>
      <c r="AS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328"/>
      <c r="AD30" s="2269" t="str">
        <f>IF(TITLE_DATE_PR_CHANGE="",IF(TITLE_DATE_PR="","",TITLE_DATE_PR),TITLE_DATE_PR_CHANGE)</f>
        <v/>
      </c>
      <c r="AE30" s="2269"/>
      <c r="AF30" s="2269"/>
      <c r="AG30" s="2269"/>
      <c r="AH30" s="2269"/>
      <c r="AI30" s="2269"/>
      <c r="AJ30" s="2269"/>
      <c r="AK30" s="328"/>
      <c r="AL30" s="328"/>
      <c r="AM30" s="282"/>
      <c r="AN30" s="370"/>
      <c r="AO30" s="370"/>
      <c r="AP30" s="370"/>
      <c r="AQ30" s="370"/>
      <c r="AR30" s="370"/>
      <c r="AS30" s="420">
        <v>0</v>
      </c>
    </row>
    <row s="1852" customFormat="1" customHeight="1" ht="18.75" hidden="1">
      <c r="A31" s="1370"/>
      <c r="B31" s="1370"/>
      <c r="C31" s="1370"/>
      <c r="D31" s="1370"/>
      <c r="E31" s="1370"/>
      <c r="F31" s="1370"/>
      <c r="G31" s="1370"/>
      <c r="H31" s="1370"/>
      <c r="I31" s="1370"/>
      <c r="J31" s="1370"/>
      <c r="K31" s="1370"/>
      <c r="L31" s="1371"/>
      <c r="M31" s="1370"/>
      <c r="N31" s="1370"/>
      <c r="O31" s="137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328"/>
      <c r="AD31" s="2270" t="str">
        <f>IF(TITLE_NUMBER_PR_CHANGE="",IF(TITLE_NUMBER_PR="","",TITLE_NUMBER_PR),TITLE_NUMBER_PR_CHANGE)</f>
        <v/>
      </c>
      <c r="AE31" s="2270"/>
      <c r="AF31" s="2270"/>
      <c r="AG31" s="2270"/>
      <c r="AH31" s="2270"/>
      <c r="AI31" s="2270"/>
      <c r="AJ31" s="2270"/>
      <c r="AK31" s="328"/>
      <c r="AL31" s="328"/>
      <c r="AM31" s="282"/>
      <c r="AN31" s="370"/>
      <c r="AO31" s="370"/>
      <c r="AP31" s="370"/>
      <c r="AQ31" s="370"/>
      <c r="AR31" s="370"/>
      <c r="AS31" s="420">
        <v>0</v>
      </c>
    </row>
    <row s="1852" customFormat="1" customHeight="1" ht="18.75" hidden="1">
      <c r="A32" s="1370"/>
      <c r="B32" s="1370"/>
      <c r="C32" s="1370"/>
      <c r="D32" s="1370"/>
      <c r="E32" s="1370"/>
      <c r="F32" s="1370"/>
      <c r="G32" s="1370"/>
      <c r="H32" s="1370"/>
      <c r="I32" s="1370"/>
      <c r="J32" s="1370"/>
      <c r="K32" s="1370"/>
      <c r="L32" s="1371"/>
      <c r="M32" s="1370"/>
      <c r="N32" s="1370"/>
      <c r="O32" s="1370"/>
      <c r="S32" s="2268" t="s">
        <v>43</v>
      </c>
      <c r="T32" s="2268"/>
      <c r="U32" s="1374"/>
      <c r="V32" s="2270" t="str">
        <f>IF(TITLE_IST_PUB_CHANGE="",IF(TITLE_IST_PUB="","",TITLE_IST_PUB),TITLE_IST_PUB_CHANGE)</f>
        <v/>
      </c>
      <c r="W32" s="2270"/>
      <c r="X32" s="2270"/>
      <c r="Y32" s="2270"/>
      <c r="Z32" s="2270"/>
      <c r="AA32" s="2270"/>
      <c r="AB32" s="2270"/>
      <c r="AC32" s="328"/>
      <c r="AD32" s="2270" t="str">
        <f>IF(TITLE_IST_PUB_CHANGE="",IF(TITLE_IST_PUB="","",TITLE_IST_PUB),TITLE_IST_PUB_CHANGE)</f>
        <v/>
      </c>
      <c r="AE32" s="2270"/>
      <c r="AF32" s="2270"/>
      <c r="AG32" s="2270"/>
      <c r="AH32" s="2270"/>
      <c r="AI32" s="2270"/>
      <c r="AJ32" s="2270"/>
      <c r="AK32" s="328"/>
      <c r="AL32" s="328"/>
      <c r="AM32" s="282"/>
      <c r="AN32" s="370"/>
      <c r="AO32" s="370"/>
      <c r="AP32" s="370"/>
      <c r="AQ32" s="370"/>
      <c r="AR32" s="370"/>
      <c r="AS32" s="420">
        <v>0</v>
      </c>
    </row>
    <row customHeight="1" ht="14.25" hidden="1">
      <c r="Q33" s="378"/>
      <c r="R33" s="378"/>
      <c r="S33" s="1277"/>
      <c r="T33" s="459"/>
      <c r="U33" s="365"/>
      <c r="V33" s="324"/>
      <c r="W33" s="324"/>
      <c r="X33" s="324"/>
      <c r="Y33" s="324"/>
      <c r="Z33" s="324"/>
      <c r="AA33" s="324"/>
      <c r="AB33" s="324"/>
      <c r="AC33" s="324"/>
      <c r="AD33" s="324"/>
      <c r="AE33" s="324"/>
      <c r="AF33" s="324"/>
      <c r="AG33" s="324"/>
      <c r="AH33" s="324"/>
      <c r="AI33" s="324"/>
      <c r="AJ33" s="324"/>
      <c r="AK33" s="324"/>
      <c r="AL33" s="511"/>
      <c r="AS33" s="1157">
        <v>0</v>
      </c>
    </row>
    <row s="1852" customFormat="1" customHeight="1" ht="18.75" hidden="1">
      <c r="A34" s="1370"/>
      <c r="B34" s="1370"/>
      <c r="C34" s="1370"/>
      <c r="D34" s="1370"/>
      <c r="E34" s="1370"/>
      <c r="F34" s="1370"/>
      <c r="G34" s="1370"/>
      <c r="H34" s="1370"/>
      <c r="I34" s="1370"/>
      <c r="J34" s="1370"/>
      <c r="K34" s="1370"/>
      <c r="L34" s="1371"/>
      <c r="M34" s="1370"/>
      <c r="N34" s="1370"/>
      <c r="O34" s="137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328"/>
      <c r="AD34" s="2269" t="str">
        <f>IF(TITLE_DATE_PR_CHANGE="",IF(TITLE_DATE_PR="","",TITLE_DATE_PR),TITLE_DATE_PR_CHANGE)</f>
        <v/>
      </c>
      <c r="AE34" s="2269"/>
      <c r="AF34" s="2269"/>
      <c r="AG34" s="2269"/>
      <c r="AH34" s="2269"/>
      <c r="AI34" s="2269"/>
      <c r="AJ34" s="2269"/>
      <c r="AK34" s="328"/>
      <c r="AL34" s="328"/>
      <c r="AM34" s="282"/>
      <c r="AN34" s="370"/>
      <c r="AO34" s="370"/>
      <c r="AP34" s="370"/>
      <c r="AQ34" s="370"/>
      <c r="AR34" s="370"/>
      <c r="AS34" s="420">
        <v>0</v>
      </c>
    </row>
    <row s="1852" customFormat="1" customHeight="1" ht="18.75" hidden="1">
      <c r="A35" s="1370"/>
      <c r="B35" s="1370"/>
      <c r="C35" s="1370"/>
      <c r="D35" s="1370"/>
      <c r="E35" s="1370"/>
      <c r="F35" s="1370"/>
      <c r="G35" s="1370"/>
      <c r="H35" s="1370"/>
      <c r="I35" s="1370"/>
      <c r="J35" s="1370"/>
      <c r="K35" s="1370"/>
      <c r="L35" s="1371"/>
      <c r="M35" s="1370"/>
      <c r="N35" s="1370"/>
      <c r="O35" s="137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328"/>
      <c r="AD35" s="2270" t="str">
        <f>IF(TITLE_NUMBER_PR_CHANGE="",IF(TITLE_NUMBER_PR="","",TITLE_NUMBER_PR),TITLE_NUMBER_PR_CHANGE)</f>
        <v/>
      </c>
      <c r="AE35" s="2270"/>
      <c r="AF35" s="2270"/>
      <c r="AG35" s="2270"/>
      <c r="AH35" s="2270"/>
      <c r="AI35" s="2270"/>
      <c r="AJ35" s="2270"/>
      <c r="AK35" s="328"/>
      <c r="AL35" s="328"/>
      <c r="AM35" s="282"/>
      <c r="AN35" s="370"/>
      <c r="AO35" s="370"/>
      <c r="AP35" s="370"/>
      <c r="AQ35" s="370"/>
      <c r="AR35" s="370"/>
      <c r="AS35" s="420">
        <v>0</v>
      </c>
    </row>
    <row s="1852"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418</v>
      </c>
      <c r="AD36" s="328"/>
      <c r="AE36" s="328"/>
      <c r="AF36" s="328"/>
      <c r="AG36" s="328"/>
      <c r="AH36" s="328"/>
      <c r="AI36" s="328"/>
      <c r="AJ36" s="328"/>
      <c r="AK36" s="280" t="s">
        <v>418</v>
      </c>
      <c r="AN36" s="370"/>
      <c r="AO36" s="370"/>
      <c r="AP36" s="370"/>
      <c r="AQ36" s="370"/>
      <c r="AR36" s="370"/>
      <c r="AS36" s="420">
        <v>0</v>
      </c>
    </row>
    <row customHeight="1" ht="14.699999999999998">
      <c r="Q37" s="378"/>
      <c r="R37" s="378"/>
      <c r="S37" s="1277"/>
      <c r="T37" s="365"/>
      <c r="U37" s="1246"/>
      <c r="V37" s="2294"/>
      <c r="W37" s="2294"/>
      <c r="X37" s="2294"/>
      <c r="Y37" s="2294"/>
      <c r="Z37" s="2294"/>
      <c r="AA37" s="2294"/>
      <c r="AB37" s="2294"/>
      <c r="AC37" s="2294"/>
      <c r="AD37" s="2294"/>
      <c r="AE37" s="2294"/>
      <c r="AF37" s="2294"/>
      <c r="AG37" s="2294"/>
      <c r="AH37" s="2294"/>
      <c r="AI37" s="2294"/>
      <c r="AJ37" s="2294"/>
      <c r="AK37" s="2294"/>
      <c r="AS37" s="1157">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157">
        <v>14</v>
      </c>
    </row>
    <row customHeight="1" ht="14.699999999999998">
      <c r="Q39" s="378"/>
      <c r="R39" s="378"/>
      <c r="S39" s="2295" t="s">
        <v>88</v>
      </c>
      <c r="T39" s="2232" t="s">
        <v>419</v>
      </c>
      <c r="U39" s="303"/>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157">
        <v>14</v>
      </c>
    </row>
    <row customHeight="1" ht="35.699999999999996">
      <c r="Q40" s="378"/>
      <c r="R40" s="378"/>
      <c r="S40" s="2295"/>
      <c r="T40" s="2232"/>
      <c r="U40" s="1033"/>
      <c r="V40" s="2305" t="s">
        <v>441</v>
      </c>
      <c r="W40" s="2286"/>
      <c r="X40" s="2288" t="s">
        <v>426</v>
      </c>
      <c r="Y40" s="2290"/>
      <c r="Z40" s="2288" t="s">
        <v>427</v>
      </c>
      <c r="AA40" s="2289"/>
      <c r="AB40" s="2290"/>
      <c r="AC40" s="2300"/>
      <c r="AD40" s="2305" t="s">
        <v>441</v>
      </c>
      <c r="AE40" s="2286"/>
      <c r="AF40" s="2288" t="s">
        <v>426</v>
      </c>
      <c r="AG40" s="2290"/>
      <c r="AH40" s="2288" t="s">
        <v>427</v>
      </c>
      <c r="AI40" s="2289"/>
      <c r="AJ40" s="2290"/>
      <c r="AK40" s="2300"/>
      <c r="AL40" s="2303"/>
      <c r="AM40" s="2140"/>
      <c r="AS40" s="1157">
        <v>34</v>
      </c>
    </row>
    <row customHeight="1" ht="35.699999999999996">
      <c r="A41" s="1372"/>
      <c r="B41" s="1372" t="s">
        <v>132</v>
      </c>
      <c r="C41" s="1372" t="s">
        <v>133</v>
      </c>
      <c r="D41" s="1372" t="s">
        <v>134</v>
      </c>
      <c r="E41" s="1366" t="s">
        <v>428</v>
      </c>
      <c r="F41" s="1366" t="s">
        <v>429</v>
      </c>
      <c r="G41" s="1366" t="s">
        <v>430</v>
      </c>
      <c r="H41" s="1366" t="s">
        <v>431</v>
      </c>
      <c r="I41" s="1366" t="s">
        <v>432</v>
      </c>
      <c r="J41" s="1366" t="s">
        <v>433</v>
      </c>
      <c r="K41" s="1366" t="s">
        <v>434</v>
      </c>
      <c r="L41" s="1366" t="s">
        <v>413</v>
      </c>
      <c r="Q41" s="378"/>
      <c r="R41" s="378"/>
      <c r="S41" s="2295"/>
      <c r="T41" s="2232"/>
      <c r="U41" s="304"/>
      <c r="V41" s="2306"/>
      <c r="W41" s="2287"/>
      <c r="X41" s="1224" t="s">
        <v>435</v>
      </c>
      <c r="Y41" s="1224" t="s">
        <v>436</v>
      </c>
      <c r="Z41" s="1340" t="s">
        <v>437</v>
      </c>
      <c r="AA41" s="2291" t="s">
        <v>438</v>
      </c>
      <c r="AB41" s="2292"/>
      <c r="AC41" s="2301"/>
      <c r="AD41" s="2306"/>
      <c r="AE41" s="2287"/>
      <c r="AF41" s="1224" t="s">
        <v>435</v>
      </c>
      <c r="AG41" s="1224" t="s">
        <v>436</v>
      </c>
      <c r="AH41" s="1340" t="s">
        <v>437</v>
      </c>
      <c r="AI41" s="2291" t="s">
        <v>438</v>
      </c>
      <c r="AJ41" s="2292"/>
      <c r="AK41" s="2301"/>
      <c r="AL41" s="2304"/>
      <c r="AM41" s="2140"/>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106</v>
      </c>
      <c r="T42" s="1257" t="s">
        <v>107</v>
      </c>
      <c r="U42" s="1247" t="str">
        <f>OFFSET(U42,0,-1)</f>
        <v>2</v>
      </c>
      <c r="V42" s="1337">
        <f>OFFSET(V42,0,-1)+1</f>
        <v>3</v>
      </c>
      <c r="W42" s="1337"/>
      <c r="X42" s="1337">
        <f>OFFSET(X42,0,-1)+1</f>
        <v>1</v>
      </c>
      <c r="Y42" s="1337">
        <f>OFFSET(Y42,0,-1)+1</f>
        <v>2</v>
      </c>
      <c r="Z42" s="1337">
        <f>OFFSET(Z42,0,-1)+1</f>
        <v>3</v>
      </c>
      <c r="AA42" s="2293">
        <f>OFFSET(AA42,0,-1)+1</f>
        <v>4</v>
      </c>
      <c r="AB42" s="2293"/>
      <c r="AC42" s="1337">
        <f>OFFSET(AC42,0,-2)+1</f>
        <v>5</v>
      </c>
      <c r="AD42" s="1337">
        <f>OFFSET(AD42,0,-1)+1</f>
        <v>6</v>
      </c>
      <c r="AE42" s="1337"/>
      <c r="AF42" s="1337">
        <f>OFFSET(AF42,0,-1)+1</f>
        <v>1</v>
      </c>
      <c r="AG42" s="1337">
        <f>OFFSET(AG42,0,-1)+1</f>
        <v>2</v>
      </c>
      <c r="AH42" s="1337">
        <f>OFFSET(AH42,0,-1)+1</f>
        <v>3</v>
      </c>
      <c r="AI42" s="2293">
        <f>OFFSET(AI42,0,-1)+1</f>
        <v>4</v>
      </c>
      <c r="AJ42" s="2293"/>
      <c r="AK42" s="1337">
        <f>OFFSET(AK42,0,-2)+1</f>
        <v>5</v>
      </c>
      <c r="AL42" s="1247">
        <f>OFFSET(AL42,0,-1)</f>
        <v>5</v>
      </c>
      <c r="AM42" s="1337">
        <f>OFFSET(AM42,0,-1)+1</f>
        <v>6</v>
      </c>
      <c r="AN42" s="513"/>
      <c r="AO42" s="513"/>
      <c r="AP42" s="513"/>
      <c r="AQ42" s="513"/>
      <c r="AR42" s="513"/>
      <c r="AS42" s="498">
        <v>0</v>
      </c>
    </row>
    <row customHeight="1" ht="22.049999999999997">
      <c r="A43" s="1365" t="s">
        <v>165</v>
      </c>
      <c r="B43" s="1365"/>
      <c r="C43" s="1365"/>
      <c r="D43" s="1365"/>
      <c r="E43" s="2277">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165</v>
      </c>
      <c r="B44" s="1365" t="s">
        <v>166</v>
      </c>
      <c r="C44" s="1365"/>
      <c r="D44" s="1365"/>
      <c r="E44" s="2278"/>
      <c r="F44" s="2277">
        <v>1</v>
      </c>
      <c r="G44" s="1365"/>
      <c r="H44" s="1365"/>
      <c r="I44" s="1365"/>
      <c r="J44" s="1365"/>
      <c r="K44" s="1365"/>
      <c r="L44" s="1366"/>
      <c r="M44" s="1367"/>
      <c r="N44" s="1367"/>
      <c r="O44" s="1367"/>
      <c r="P44" s="1334"/>
      <c r="Q44" s="354"/>
      <c r="R44" s="355"/>
      <c r="S44" s="1338" t="str">
        <f>INDEX(PT_DIFFERENTIATION_NUM_TER,MATCH(B44,PT_DIFFERENTIATION_TER_ID,0))</f>
        <v>.</v>
      </c>
      <c r="T44" s="310"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502"/>
      <c r="AP44" s="502" t="str">
        <f>IF(T44="","",T44)</f>
        <v>Территория действия тарифа</v>
      </c>
      <c r="AQ44" s="502"/>
      <c r="AR44" s="502"/>
      <c r="AS44" s="1157">
        <v>21</v>
      </c>
    </row>
    <row customHeight="1" ht="24">
      <c r="A45" s="1365" t="s">
        <v>165</v>
      </c>
      <c r="B45" s="1365" t="s">
        <v>166</v>
      </c>
      <c r="C45" s="1365" t="s">
        <v>167</v>
      </c>
      <c r="D45" s="1365"/>
      <c r="E45" s="2278"/>
      <c r="F45" s="2278"/>
      <c r="G45" s="2277">
        <v>1</v>
      </c>
      <c r="H45" s="1365"/>
      <c r="I45" s="1365"/>
      <c r="J45" s="1365"/>
      <c r="K45" s="1365"/>
      <c r="L45" s="1366"/>
      <c r="M45" s="1367"/>
      <c r="N45" s="1367"/>
      <c r="O45" s="1367"/>
      <c r="P45" s="356"/>
      <c r="Q45" s="354"/>
      <c r="R45" s="355"/>
      <c r="S45" s="1338"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502"/>
      <c r="AP45" s="502" t="str">
        <f>IF(T45="","",T45)</f>
        <v>Наименование системы теплоснабжения </v>
      </c>
      <c r="AQ45" s="502"/>
      <c r="AR45" s="502"/>
      <c r="AS45" s="1157">
        <v>23</v>
      </c>
    </row>
    <row customHeight="1" ht="22.049999999999997">
      <c r="A46" s="1365" t="s">
        <v>165</v>
      </c>
      <c r="B46" s="1365" t="s">
        <v>166</v>
      </c>
      <c r="C46" s="1365" t="s">
        <v>167</v>
      </c>
      <c r="D46" s="1365" t="s">
        <v>168</v>
      </c>
      <c r="E46" s="2278"/>
      <c r="F46" s="2278"/>
      <c r="G46" s="2278"/>
      <c r="H46" s="2277">
        <v>1</v>
      </c>
      <c r="I46" s="1365"/>
      <c r="J46" s="1365"/>
      <c r="K46" s="1365"/>
      <c r="L46" s="1366"/>
      <c r="M46" s="1367"/>
      <c r="N46" s="1367"/>
      <c r="O46" s="1367"/>
      <c r="P46" s="356"/>
      <c r="Q46" s="354"/>
      <c r="R46" s="355"/>
      <c r="S46" s="1338"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502"/>
      <c r="AP46" s="502" t="str">
        <f>IF(T46="","",T46)</f>
        <v>Источник тепловой энергии  </v>
      </c>
      <c r="AQ46" s="502"/>
      <c r="AR46" s="502"/>
      <c r="AS46" s="1157">
        <v>21</v>
      </c>
    </row>
    <row s="1644" customFormat="1" customHeight="1" ht="0">
      <c r="A47" s="1345" t="s">
        <v>165</v>
      </c>
      <c r="B47" s="1345" t="s">
        <v>166</v>
      </c>
      <c r="C47" s="1345" t="s">
        <v>167</v>
      </c>
      <c r="D47" s="1345" t="s">
        <v>168</v>
      </c>
      <c r="E47" s="2278"/>
      <c r="F47" s="2278"/>
      <c r="G47" s="2278"/>
      <c r="H47" s="2278"/>
      <c r="I47" s="2279" t="str">
        <f>S46&amp;".1"</f>
        <v>....1</v>
      </c>
      <c r="J47" s="1345"/>
      <c r="K47" s="1345"/>
      <c r="L47" s="1348" t="s">
        <v>398</v>
      </c>
      <c r="M47" s="512"/>
      <c r="N47" s="512"/>
      <c r="O47" s="512"/>
      <c r="P47" s="2281">
        <v>1</v>
      </c>
      <c r="Q47" s="1333"/>
      <c r="R47" s="358"/>
      <c r="S47" s="1044"/>
      <c r="T47" s="1385"/>
      <c r="U47" s="1386"/>
      <c r="V47" s="2319"/>
      <c r="W47" s="2320"/>
      <c r="X47" s="2320"/>
      <c r="Y47" s="2320"/>
      <c r="Z47" s="2320"/>
      <c r="AA47" s="2320"/>
      <c r="AB47" s="2320"/>
      <c r="AC47" s="2321"/>
      <c r="AD47" s="2319"/>
      <c r="AE47" s="2320"/>
      <c r="AF47" s="2320"/>
      <c r="AG47" s="2320"/>
      <c r="AH47" s="2320"/>
      <c r="AI47" s="2320"/>
      <c r="AJ47" s="2320"/>
      <c r="AK47" s="2320"/>
      <c r="AL47" s="2321"/>
      <c r="AM47" s="1387"/>
      <c r="AO47" s="502"/>
      <c r="AP47" s="502" t="str">
        <f>IF(T47="","",T47)</f>
        <v/>
      </c>
      <c r="AQ47" s="502"/>
      <c r="AR47" s="502"/>
      <c r="AS47" s="513">
        <v>0</v>
      </c>
    </row>
    <row customHeight="1" ht="22.049999999999997">
      <c r="A48" s="1365" t="s">
        <v>165</v>
      </c>
      <c r="B48" s="1365" t="s">
        <v>166</v>
      </c>
      <c r="C48" s="1365" t="s">
        <v>167</v>
      </c>
      <c r="D48" s="1365" t="s">
        <v>168</v>
      </c>
      <c r="E48" s="2278"/>
      <c r="F48" s="2278"/>
      <c r="G48" s="2278"/>
      <c r="H48" s="2278"/>
      <c r="I48" s="2280"/>
      <c r="J48" s="2279" t="str">
        <f>S46&amp;".1"</f>
        <v>....1</v>
      </c>
      <c r="K48" s="1365"/>
      <c r="L48" s="1366" t="s">
        <v>401</v>
      </c>
      <c r="P48" s="2281"/>
      <c r="Q48" s="2281">
        <v>1</v>
      </c>
      <c r="R48" s="359"/>
      <c r="S48" s="1338" t="str">
        <f>$J48</f>
        <v>....1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502"/>
      <c r="AP48" s="502" t="str">
        <f>IF(T48="","",T48)</f>
        <v>Группа потребителей</v>
      </c>
      <c r="AQ48" s="502"/>
      <c r="AR48" s="502"/>
      <c r="AS48" s="1157">
        <v>21</v>
      </c>
    </row>
    <row customHeight="1" ht="22.049999999999997">
      <c r="A49" s="1365" t="s">
        <v>165</v>
      </c>
      <c r="B49" s="1365" t="s">
        <v>166</v>
      </c>
      <c r="C49" s="1365" t="s">
        <v>167</v>
      </c>
      <c r="D49" s="1365" t="s">
        <v>168</v>
      </c>
      <c r="E49" s="2278"/>
      <c r="F49" s="2278"/>
      <c r="G49" s="2278"/>
      <c r="H49" s="2278"/>
      <c r="I49" s="2280"/>
      <c r="J49" s="2280"/>
      <c r="K49" s="2279" t="str">
        <f>J48&amp;".1"</f>
        <v>....1.1</v>
      </c>
      <c r="L49" s="1366" t="s">
        <v>404</v>
      </c>
      <c r="P49" s="2281"/>
      <c r="Q49" s="2281"/>
      <c r="R49" s="359">
        <v>1</v>
      </c>
      <c r="S49" s="1338" t="str">
        <f>$K49</f>
        <v>....1.1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442</v>
      </c>
      <c r="AN49" s="513">
        <f>STRCHECKDATE(V50:AL50)</f>
      </c>
      <c r="AO49" s="502"/>
      <c r="AP49" s="502" t="str">
        <f>IF(T49="","",T49)</f>
        <v/>
      </c>
      <c r="AQ49" s="502"/>
      <c r="AR49" s="502"/>
      <c r="AS49" s="1157">
        <v>21</v>
      </c>
    </row>
    <row customHeight="1" ht="1.05">
      <c r="A50" s="1365" t="s">
        <v>165</v>
      </c>
      <c r="B50" s="1365" t="s">
        <v>166</v>
      </c>
      <c r="C50" s="1365" t="s">
        <v>167</v>
      </c>
      <c r="D50" s="1365" t="s">
        <v>168</v>
      </c>
      <c r="E50" s="2278"/>
      <c r="F50" s="2278"/>
      <c r="G50" s="2278"/>
      <c r="H50" s="2278"/>
      <c r="I50" s="2280"/>
      <c r="J50" s="2280"/>
      <c r="K50" s="2279"/>
      <c r="L50" s="1366"/>
      <c r="P50" s="2281"/>
      <c r="Q50" s="2281"/>
      <c r="R50" s="359"/>
      <c r="S50" s="1344"/>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502"/>
      <c r="AP50" s="502" t="str">
        <f>IF(T50="","",T50)</f>
        <v/>
      </c>
      <c r="AQ50" s="502"/>
      <c r="AR50" s="502"/>
      <c r="AS50" s="1157">
        <v>1</v>
      </c>
    </row>
    <row customHeight="1" ht="11.549999999999999">
      <c r="A51" s="1365" t="s">
        <v>165</v>
      </c>
      <c r="B51" s="1365" t="s">
        <v>166</v>
      </c>
      <c r="C51" s="1365" t="s">
        <v>167</v>
      </c>
      <c r="D51" s="1365" t="s">
        <v>168</v>
      </c>
      <c r="E51" s="2278"/>
      <c r="F51" s="2278"/>
      <c r="G51" s="2278"/>
      <c r="H51" s="2278"/>
      <c r="I51" s="2280"/>
      <c r="J51" s="2279"/>
      <c r="K51" s="1365"/>
      <c r="L51" s="1366"/>
      <c r="P51" s="2281"/>
      <c r="Q51" s="2281"/>
      <c r="R51" s="358"/>
      <c r="S51" s="1280"/>
      <c r="T51" s="289" t="s">
        <v>406</v>
      </c>
      <c r="U51" s="369"/>
      <c r="V51" s="369"/>
      <c r="W51" s="369"/>
      <c r="X51" s="369"/>
      <c r="Y51" s="369"/>
      <c r="Z51" s="369"/>
      <c r="AA51" s="369"/>
      <c r="AB51" s="369"/>
      <c r="AC51" s="369"/>
      <c r="AD51" s="369"/>
      <c r="AE51" s="369"/>
      <c r="AF51" s="369"/>
      <c r="AG51" s="369"/>
      <c r="AH51" s="369"/>
      <c r="AI51" s="369"/>
      <c r="AJ51" s="369"/>
      <c r="AK51" s="369"/>
      <c r="AL51" s="326"/>
      <c r="AM51" s="2309"/>
      <c r="AO51" s="502"/>
      <c r="AP51" s="502" t="str">
        <f>IF(T51="","",T51)</f>
        <v>Добавить вид теплоносителя (параметры теплоносителя)</v>
      </c>
      <c r="AQ51" s="502"/>
      <c r="AR51" s="502"/>
      <c r="AS51" s="1157">
        <v>11</v>
      </c>
    </row>
    <row customHeight="1" ht="11.549999999999999">
      <c r="A52" s="1365" t="s">
        <v>165</v>
      </c>
      <c r="B52" s="1365" t="s">
        <v>166</v>
      </c>
      <c r="C52" s="1365" t="s">
        <v>167</v>
      </c>
      <c r="D52" s="1365" t="s">
        <v>168</v>
      </c>
      <c r="E52" s="2278"/>
      <c r="F52" s="2278"/>
      <c r="G52" s="2278"/>
      <c r="H52" s="2278"/>
      <c r="I52" s="2279"/>
      <c r="J52" s="1365"/>
      <c r="K52" s="1365"/>
      <c r="L52" s="1366"/>
      <c r="P52" s="2281"/>
      <c r="Q52" s="1333"/>
      <c r="R52" s="358"/>
      <c r="S52" s="1280"/>
      <c r="T52" s="367" t="s">
        <v>407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165</v>
      </c>
      <c r="B53" s="1365" t="s">
        <v>166</v>
      </c>
      <c r="C53" s="1365" t="s">
        <v>167</v>
      </c>
      <c r="D53" s="1365" t="s">
        <v>168</v>
      </c>
      <c r="E53" s="2278"/>
      <c r="F53" s="2278"/>
      <c r="G53" s="2278"/>
      <c r="H53" s="2277"/>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165</v>
      </c>
      <c r="B54" s="1345" t="s">
        <v>166</v>
      </c>
      <c r="C54" s="1345" t="s">
        <v>167</v>
      </c>
      <c r="D54" s="1316"/>
      <c r="E54" s="2278"/>
      <c r="F54" s="2278"/>
      <c r="G54" s="2277"/>
      <c r="H54" s="1316"/>
      <c r="I54" s="1316"/>
      <c r="J54" s="1316"/>
      <c r="K54" s="1316"/>
      <c r="L54" s="1341"/>
      <c r="M54" s="1317"/>
      <c r="N54" s="131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165</v>
      </c>
      <c r="B55" s="1345" t="s">
        <v>166</v>
      </c>
      <c r="C55" s="1316"/>
      <c r="D55" s="1316"/>
      <c r="E55" s="2278"/>
      <c r="F55" s="2277"/>
      <c r="G55" s="1316"/>
      <c r="H55" s="1316"/>
      <c r="I55" s="1316"/>
      <c r="J55" s="1316"/>
      <c r="K55" s="1316"/>
      <c r="L55" s="1341"/>
      <c r="M55" s="1323"/>
      <c r="N55" s="132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165</v>
      </c>
      <c r="B56" s="1345"/>
      <c r="C56" s="1345"/>
      <c r="D56" s="1345"/>
      <c r="E56" s="2277"/>
      <c r="F56" s="1345"/>
      <c r="G56" s="1345"/>
      <c r="H56" s="1345"/>
      <c r="I56" s="1345"/>
      <c r="J56" s="1345"/>
      <c r="K56" s="1345"/>
      <c r="L56" s="1348"/>
      <c r="M56" s="1323"/>
      <c r="N56" s="1323"/>
      <c r="O56" s="520"/>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157">
        <v>19</v>
      </c>
    </row>
    <row customHeight="1" ht="29.25">
      <c r="O60" s="539"/>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157">
        <v>28</v>
      </c>
    </row>
    <row customHeight="1" ht="42">
      <c r="O61" s="539"/>
      <c r="T61" s="2276"/>
      <c r="U61" s="2276"/>
      <c r="V61" s="2276"/>
      <c r="W61" s="2276"/>
      <c r="X61" s="2276"/>
      <c r="Y61" s="2276"/>
      <c r="Z61" s="2276"/>
      <c r="AA61" s="2276"/>
      <c r="AB61" s="2276"/>
      <c r="AC61" s="2276"/>
      <c r="AD61" s="2276"/>
      <c r="AE61" s="2276"/>
      <c r="AF61" s="2276"/>
      <c r="AG61" s="2276"/>
      <c r="AH61" s="2276"/>
      <c r="AI61" s="2276"/>
      <c r="AJ61" s="2276"/>
      <c r="AK61" s="2276"/>
      <c r="AL61" s="2276"/>
      <c r="AM61" s="2276"/>
      <c r="AS61" s="1157">
        <v>40</v>
      </c>
    </row>
    <row customHeight="1" ht="14.699999999999998">
      <c r="O62" s="539"/>
      <c r="AS62" s="1157">
        <v>14</v>
      </c>
    </row>
    <row customHeight="1" ht="21">
      <c r="O63" s="539"/>
      <c r="S63" s="1255"/>
      <c r="T63" s="2322"/>
      <c r="U63" s="2276"/>
      <c r="V63" s="2276"/>
      <c r="W63" s="2276"/>
      <c r="X63" s="2276"/>
      <c r="Y63" s="2276"/>
      <c r="Z63" s="2276"/>
      <c r="AA63" s="2276"/>
      <c r="AB63" s="2276"/>
      <c r="AC63" s="2276"/>
      <c r="AD63" s="2276"/>
      <c r="AE63" s="2276"/>
      <c r="AF63" s="2276"/>
      <c r="AG63" s="2276"/>
      <c r="AH63" s="2276"/>
      <c r="AI63" s="2276"/>
      <c r="AJ63" s="2276"/>
      <c r="AK63" s="2276"/>
      <c r="AL63" s="2276"/>
      <c r="AM63" s="2276"/>
      <c r="AS63" s="1157">
        <v>20</v>
      </c>
    </row>
    <row customHeight="1" ht="29.25">
      <c r="O64" s="539"/>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157">
        <v>28</v>
      </c>
    </row>
    <row customHeight="1" ht="35.699999999999996">
      <c r="T65" s="2276"/>
      <c r="U65" s="2276"/>
      <c r="V65" s="2276"/>
      <c r="W65" s="2276"/>
      <c r="X65" s="2276"/>
      <c r="Y65" s="2276"/>
      <c r="Z65" s="2276"/>
      <c r="AA65" s="2276"/>
      <c r="AB65" s="2276"/>
      <c r="AC65" s="2276"/>
      <c r="AD65" s="2276"/>
      <c r="AE65" s="2276"/>
      <c r="AF65" s="2276"/>
      <c r="AG65" s="2276"/>
      <c r="AH65" s="2276"/>
      <c r="AI65" s="2276"/>
      <c r="AJ65" s="2276"/>
      <c r="AK65" s="2276"/>
      <c r="AL65" s="2276"/>
      <c r="AM65" s="2276"/>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61527-378F-E558-4619-BDBA87BB77D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2420" width="3.7109375" hidden="1" customWidth="1"/>
    <col min="17" max="18" style="346" width="3.00390625" customWidth="1"/>
    <col min="19" max="19" style="2433"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0"/>
      <c r="Y1" s="329"/>
      <c r="Z1" s="329"/>
      <c r="AG1" s="329"/>
      <c r="AH1" s="329"/>
      <c r="AS1" s="1157" t="s">
        <v>14</v>
      </c>
    </row>
    <row customHeight="1" ht="21" hidden="1">
      <c r="A2" s="1365"/>
      <c r="B2" s="1365"/>
      <c r="C2" s="1365"/>
      <c r="D2" s="1365"/>
      <c r="E2" s="2277">
        <v>1</v>
      </c>
      <c r="F2" s="1365"/>
      <c r="G2" s="1365"/>
      <c r="H2" s="1365"/>
      <c r="I2" s="1365"/>
      <c r="J2" s="1365"/>
      <c r="K2" s="1365"/>
      <c r="L2" s="1366"/>
      <c r="M2" s="1367"/>
      <c r="N2" s="1367"/>
      <c r="O2" s="1367"/>
      <c r="P2" s="363"/>
      <c r="Q2" s="362"/>
      <c r="R2" s="357"/>
      <c r="S2" s="1338">
        <f>INDEX(PT_DIFFERENTIATION_NUM_NTAR,MATCH(A2,PT_DIFFERENTIATION_NTAR_ID,0))</f>
      </c>
      <c r="T2" s="300"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502"/>
      <c r="AP2" s="502" t="str">
        <f>IF(T2="","",T2)</f>
        <v>Наименование тарифа</v>
      </c>
      <c r="AQ2" s="502"/>
      <c r="AR2" s="502"/>
      <c r="AS2" s="1157">
        <v>0</v>
      </c>
    </row>
    <row customHeight="1" ht="21" hidden="1">
      <c r="A3" s="1365"/>
      <c r="B3" s="1365"/>
      <c r="C3" s="1365"/>
      <c r="D3" s="1365"/>
      <c r="E3" s="2278"/>
      <c r="F3" s="2277">
        <v>1</v>
      </c>
      <c r="G3" s="1365"/>
      <c r="H3" s="1365"/>
      <c r="I3" s="1365"/>
      <c r="J3" s="1365"/>
      <c r="K3" s="1365"/>
      <c r="L3" s="1366"/>
      <c r="M3" s="1367"/>
      <c r="N3" s="1367"/>
      <c r="O3" s="1367"/>
      <c r="P3" s="1334"/>
      <c r="Q3" s="354"/>
      <c r="R3" s="355"/>
      <c r="S3" s="1338">
        <f>INDEX(PT_DIFFERENTIATION_NUM_TER,MATCH(B3,PT_DIFFERENTIATION_TER_ID,0))</f>
      </c>
      <c r="T3" s="310"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502"/>
      <c r="AP3" s="502" t="str">
        <f>IF(T3="","",T3)</f>
        <v>Территория действия тарифа</v>
      </c>
      <c r="AQ3" s="502"/>
      <c r="AR3" s="502"/>
      <c r="AS3" s="1157">
        <v>0</v>
      </c>
    </row>
    <row customHeight="1" ht="23.25" hidden="1">
      <c r="A4" s="1365"/>
      <c r="B4" s="1365"/>
      <c r="C4" s="1365"/>
      <c r="D4" s="1365"/>
      <c r="E4" s="2278"/>
      <c r="F4" s="2278"/>
      <c r="G4" s="2277">
        <v>1</v>
      </c>
      <c r="H4" s="1365"/>
      <c r="I4" s="1365"/>
      <c r="J4" s="1365"/>
      <c r="K4" s="1365"/>
      <c r="L4" s="1366"/>
      <c r="M4" s="1367"/>
      <c r="N4" s="1367"/>
      <c r="O4" s="1367"/>
      <c r="P4" s="356"/>
      <c r="Q4" s="354"/>
      <c r="R4" s="355"/>
      <c r="S4" s="2007">
        <f>INDEX(PT_DIFFERENTIATION_NUM_CS,MATCH(C4,PT_DIFFERENTIATION_CS_ID,0))</f>
      </c>
      <c r="T4" s="2011" t="s">
        <v>394</v>
      </c>
      <c r="U4" s="2012"/>
      <c r="V4" s="2326"/>
      <c r="W4" s="2327"/>
      <c r="X4" s="2327"/>
      <c r="Y4" s="2327"/>
      <c r="Z4" s="2327"/>
      <c r="AA4" s="2327"/>
      <c r="AB4" s="2327"/>
      <c r="AC4" s="2328"/>
      <c r="AD4" s="2326">
        <f>INDEX(PT_DIFFERENTIATION_CS,MATCH(C4,PT_DIFFERENTIATION_CS_ID,0))</f>
      </c>
      <c r="AE4" s="2327"/>
      <c r="AF4" s="2327"/>
      <c r="AG4" s="2327"/>
      <c r="AH4" s="2327"/>
      <c r="AI4" s="2327"/>
      <c r="AJ4" s="2327"/>
      <c r="AK4" s="2327"/>
      <c r="AL4" s="2328"/>
      <c r="AM4" s="1260" t="s">
        <v>395</v>
      </c>
      <c r="AO4" s="502"/>
      <c r="AP4" s="502" t="str">
        <f>IF(T4="","",T4)</f>
        <v>Наименование системы теплоснабжения </v>
      </c>
      <c r="AQ4" s="502"/>
      <c r="AR4" s="502"/>
      <c r="AS4" s="1157">
        <v>0</v>
      </c>
    </row>
    <row customHeight="1" ht="21" hidden="1">
      <c r="A5" s="1365"/>
      <c r="B5" s="1365"/>
      <c r="C5" s="1365"/>
      <c r="D5" s="1365"/>
      <c r="E5" s="2278"/>
      <c r="F5" s="2278"/>
      <c r="G5" s="2278"/>
      <c r="H5" s="2277">
        <v>1</v>
      </c>
      <c r="I5" s="1365"/>
      <c r="J5" s="1365"/>
      <c r="K5" s="1365"/>
      <c r="L5" s="1366"/>
      <c r="M5" s="1367"/>
      <c r="N5" s="1367"/>
      <c r="O5" s="1367"/>
      <c r="P5" s="356"/>
      <c r="Q5" s="354"/>
      <c r="R5" s="1637"/>
      <c r="S5" s="2006">
        <f>INDEX(PT_DIFFERENTIATION_NUM_IST_TE,MATCH(D5,PT_DIFFERENTIATION_IST_TE_ID,0))</f>
      </c>
      <c r="T5" s="312" t="s">
        <v>396</v>
      </c>
      <c r="U5" s="302"/>
      <c r="V5" s="2329"/>
      <c r="W5" s="2329"/>
      <c r="X5" s="2329"/>
      <c r="Y5" s="2329"/>
      <c r="Z5" s="2329"/>
      <c r="AA5" s="2329"/>
      <c r="AB5" s="2329"/>
      <c r="AC5" s="2329"/>
      <c r="AD5" s="2329">
        <f>INDEX(PT_DIFFERENTIATION_IST_TE,MATCH(D5,PT_DIFFERENTIATION_IST_TE_ID,0))</f>
      </c>
      <c r="AE5" s="2329"/>
      <c r="AF5" s="2329"/>
      <c r="AG5" s="2329"/>
      <c r="AH5" s="2329"/>
      <c r="AI5" s="2329"/>
      <c r="AJ5" s="2329"/>
      <c r="AK5" s="2329"/>
      <c r="AL5" s="2329"/>
      <c r="AM5" s="2009" t="s">
        <v>397</v>
      </c>
      <c r="AO5" s="502"/>
      <c r="AP5" s="502" t="str">
        <f>IF(T5="","",T5)</f>
        <v>Источник тепловой энергии  </v>
      </c>
      <c r="AQ5" s="502"/>
      <c r="AR5" s="502"/>
      <c r="AS5" s="1157">
        <v>0</v>
      </c>
    </row>
    <row customHeight="1" ht="0.75" hidden="1">
      <c r="A6" s="1365"/>
      <c r="B6" s="1365"/>
      <c r="C6" s="1365"/>
      <c r="D6" s="1365"/>
      <c r="E6" s="2278"/>
      <c r="F6" s="2278"/>
      <c r="G6" s="2278"/>
      <c r="H6" s="2278"/>
      <c r="I6" s="2279">
        <f>S5&amp;".1"</f>
      </c>
      <c r="J6" s="1365"/>
      <c r="K6" s="1365"/>
      <c r="L6" s="1366" t="s">
        <v>398</v>
      </c>
      <c r="M6" s="539"/>
      <c r="P6" s="2281">
        <v>1</v>
      </c>
      <c r="Q6" s="1333"/>
      <c r="R6" s="2005"/>
      <c r="S6" s="1044"/>
      <c r="T6" s="1385"/>
      <c r="U6" s="1386"/>
      <c r="V6" s="2330"/>
      <c r="W6" s="2330"/>
      <c r="X6" s="2330"/>
      <c r="Y6" s="2330"/>
      <c r="Z6" s="2330"/>
      <c r="AA6" s="2330"/>
      <c r="AB6" s="2330"/>
      <c r="AC6" s="2330"/>
      <c r="AD6" s="2330"/>
      <c r="AE6" s="2330"/>
      <c r="AF6" s="2330"/>
      <c r="AG6" s="2330"/>
      <c r="AH6" s="2330"/>
      <c r="AI6" s="2330"/>
      <c r="AJ6" s="2330"/>
      <c r="AK6" s="2330"/>
      <c r="AL6" s="2330"/>
      <c r="AM6" s="2010"/>
      <c r="AO6" s="502"/>
      <c r="AP6" s="502" t="str">
        <f>IF(T6="","",T6)</f>
        <v/>
      </c>
      <c r="AQ6" s="502"/>
      <c r="AR6" s="502"/>
      <c r="AS6" s="1157">
        <v>0</v>
      </c>
    </row>
    <row customHeight="1" ht="84" hidden="1">
      <c r="A7" s="1365"/>
      <c r="B7" s="1365"/>
      <c r="C7" s="1365"/>
      <c r="D7" s="1365"/>
      <c r="E7" s="2278"/>
      <c r="F7" s="2278"/>
      <c r="G7" s="2278"/>
      <c r="H7" s="2278"/>
      <c r="I7" s="2280"/>
      <c r="J7" s="2279">
        <f>I6&amp;".1"</f>
      </c>
      <c r="K7" s="1365"/>
      <c r="L7" s="1366" t="s">
        <v>401</v>
      </c>
      <c r="M7" s="539"/>
      <c r="N7" s="1368"/>
      <c r="P7" s="2281"/>
      <c r="Q7" s="2281">
        <v>1</v>
      </c>
      <c r="R7" s="1644"/>
      <c r="S7" s="2006">
        <f>$J7</f>
      </c>
      <c r="T7" s="288" t="s">
        <v>402</v>
      </c>
      <c r="U7" s="302"/>
      <c r="V7" s="2324"/>
      <c r="W7" s="2324"/>
      <c r="X7" s="2324"/>
      <c r="Y7" s="2324"/>
      <c r="Z7" s="2324"/>
      <c r="AA7" s="2324"/>
      <c r="AB7" s="2324"/>
      <c r="AC7" s="2324"/>
      <c r="AD7" s="2324"/>
      <c r="AE7" s="2324"/>
      <c r="AF7" s="2324"/>
      <c r="AG7" s="2324"/>
      <c r="AH7" s="2324"/>
      <c r="AI7" s="2324"/>
      <c r="AJ7" s="2324"/>
      <c r="AK7" s="2324"/>
      <c r="AL7" s="2324"/>
      <c r="AM7" s="2009" t="s">
        <v>403</v>
      </c>
      <c r="AO7" s="502"/>
      <c r="AP7" s="502" t="str">
        <f>IF(T7="","",T7)</f>
        <v>Группа потребителей</v>
      </c>
      <c r="AQ7" s="502"/>
      <c r="AR7" s="502"/>
      <c r="AS7" s="1157">
        <v>0</v>
      </c>
    </row>
    <row customHeight="1" ht="11.25" hidden="1">
      <c r="A8" s="1365"/>
      <c r="B8" s="1365"/>
      <c r="C8" s="1365"/>
      <c r="D8" s="1365"/>
      <c r="E8" s="2278"/>
      <c r="F8" s="2278"/>
      <c r="G8" s="2278"/>
      <c r="H8" s="2278"/>
      <c r="I8" s="2280"/>
      <c r="J8" s="2280"/>
      <c r="K8" s="2279">
        <f>J7&amp;".1"</f>
      </c>
      <c r="L8" s="1366" t="s">
        <v>404</v>
      </c>
      <c r="M8" s="539"/>
      <c r="N8" s="1368"/>
      <c r="O8" s="1368"/>
      <c r="P8" s="2281"/>
      <c r="Q8" s="2281"/>
      <c r="R8" s="359">
        <v>1</v>
      </c>
      <c r="S8" s="2008">
        <f>$K8</f>
      </c>
      <c r="T8" s="2013"/>
      <c r="U8" s="2014"/>
      <c r="V8" s="2015"/>
      <c r="W8" s="1351"/>
      <c r="X8" s="2015"/>
      <c r="Y8" s="2016"/>
      <c r="Z8" s="2325"/>
      <c r="AA8" s="2155" t="s">
        <v>65</v>
      </c>
      <c r="AB8" s="2325"/>
      <c r="AC8" s="2155" t="s">
        <v>65</v>
      </c>
      <c r="AD8" s="2015"/>
      <c r="AE8" s="1351"/>
      <c r="AF8" s="2015"/>
      <c r="AG8" s="2016"/>
      <c r="AH8" s="2325"/>
      <c r="AI8" s="2155" t="s">
        <v>65</v>
      </c>
      <c r="AJ8" s="2325"/>
      <c r="AK8" s="2155" t="s">
        <v>65</v>
      </c>
      <c r="AL8" s="1351"/>
      <c r="AM8" s="2307" t="s">
        <v>405</v>
      </c>
      <c r="AN8" s="513">
        <f>STRCHECKDATE(V9:AL9)</f>
      </c>
      <c r="AO8" s="502"/>
      <c r="AP8" s="502" t="str">
        <f>IF(T8="","",T8)</f>
        <v/>
      </c>
      <c r="AQ8" s="502"/>
      <c r="AR8" s="502"/>
      <c r="AS8" s="1157">
        <v>0</v>
      </c>
    </row>
    <row customHeight="1" ht="0.75" hidden="1">
      <c r="A9" s="1365"/>
      <c r="B9" s="1365"/>
      <c r="C9" s="1365"/>
      <c r="D9" s="1365"/>
      <c r="E9" s="2278"/>
      <c r="F9" s="2278"/>
      <c r="G9" s="2278"/>
      <c r="H9" s="2278"/>
      <c r="I9" s="2280"/>
      <c r="J9" s="2280"/>
      <c r="K9" s="2279"/>
      <c r="L9" s="1366"/>
      <c r="M9" s="539"/>
      <c r="N9" s="1368"/>
      <c r="O9" s="1368"/>
      <c r="P9" s="2281"/>
      <c r="Q9" s="2281"/>
      <c r="R9" s="359"/>
      <c r="S9" s="1344"/>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502"/>
      <c r="AP9" s="502" t="str">
        <f>IF(T9="","",T9)</f>
        <v/>
      </c>
      <c r="AQ9" s="502"/>
      <c r="AR9" s="502"/>
      <c r="AS9" s="1157">
        <v>0</v>
      </c>
    </row>
    <row customHeight="1" ht="11.25" hidden="1">
      <c r="A10" s="1365"/>
      <c r="B10" s="1365"/>
      <c r="C10" s="1365"/>
      <c r="D10" s="1365"/>
      <c r="E10" s="2278"/>
      <c r="F10" s="2278"/>
      <c r="G10" s="2278"/>
      <c r="H10" s="2278"/>
      <c r="I10" s="2280"/>
      <c r="J10" s="2279"/>
      <c r="K10" s="1365"/>
      <c r="L10" s="1366"/>
      <c r="M10" s="539"/>
      <c r="N10" s="1368"/>
      <c r="P10" s="2281"/>
      <c r="Q10" s="2281"/>
      <c r="R10" s="358"/>
      <c r="S10" s="1280"/>
      <c r="T10" s="289" t="s">
        <v>406</v>
      </c>
      <c r="U10" s="369"/>
      <c r="V10" s="369"/>
      <c r="W10" s="369"/>
      <c r="X10" s="369"/>
      <c r="Y10" s="369"/>
      <c r="Z10" s="369"/>
      <c r="AA10" s="369"/>
      <c r="AB10" s="369"/>
      <c r="AC10" s="369"/>
      <c r="AD10" s="369"/>
      <c r="AE10" s="369"/>
      <c r="AF10" s="369"/>
      <c r="AG10" s="369"/>
      <c r="AH10" s="369"/>
      <c r="AI10" s="369"/>
      <c r="AJ10" s="369"/>
      <c r="AK10" s="369"/>
      <c r="AL10" s="326"/>
      <c r="AM10" s="2309"/>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78"/>
      <c r="F11" s="2278"/>
      <c r="G11" s="2278"/>
      <c r="H11" s="2278"/>
      <c r="I11" s="2279"/>
      <c r="J11" s="1365"/>
      <c r="K11" s="1365"/>
      <c r="L11" s="1366"/>
      <c r="M11" s="539"/>
      <c r="P11" s="2281"/>
      <c r="Q11" s="1333"/>
      <c r="R11" s="358"/>
      <c r="S11" s="1280"/>
      <c r="T11" s="367" t="s">
        <v>407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78"/>
      <c r="F12" s="2278"/>
      <c r="G12" s="2278"/>
      <c r="H12" s="2277"/>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78"/>
      <c r="F13" s="2278"/>
      <c r="G13" s="2277"/>
      <c r="H13" s="1316"/>
      <c r="I13" s="1316"/>
      <c r="J13" s="1316"/>
      <c r="K13" s="1316"/>
      <c r="L13" s="1341"/>
      <c r="M13" s="1317"/>
      <c r="N13" s="131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78"/>
      <c r="F14" s="2277"/>
      <c r="G14" s="1316"/>
      <c r="H14" s="1316"/>
      <c r="I14" s="1316"/>
      <c r="J14" s="1316"/>
      <c r="K14" s="1316"/>
      <c r="L14" s="1341"/>
      <c r="M14" s="1323"/>
      <c r="N14" s="132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77"/>
      <c r="F15" s="1316"/>
      <c r="G15" s="1316"/>
      <c r="H15" s="1316"/>
      <c r="I15" s="1316"/>
      <c r="J15" s="1316"/>
      <c r="K15" s="1316"/>
      <c r="L15" s="1341"/>
      <c r="M15" s="1323"/>
      <c r="N15" s="132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75"/>
      <c r="AI17" s="2274" t="s">
        <v>65</v>
      </c>
      <c r="AJ17" s="2275"/>
      <c r="AK17" s="2274" t="s">
        <v>65</v>
      </c>
      <c r="AS17" s="1157">
        <v>0</v>
      </c>
    </row>
    <row customHeight="1" ht="14.25" hidden="1">
      <c r="AD18" s="1362"/>
      <c r="AE18" s="1362"/>
      <c r="AF18" s="1362"/>
      <c r="AG18" s="330" t="str">
        <f>AH17&amp;"-"&amp;AJ17</f>
        <v>-</v>
      </c>
      <c r="AH18" s="2274"/>
      <c r="AI18" s="2274"/>
      <c r="AJ18" s="2274"/>
      <c r="AK18" s="2274"/>
      <c r="AS18" s="1157">
        <v>0</v>
      </c>
    </row>
    <row customHeight="1" ht="14.25" hidden="1">
      <c r="AK19" s="329"/>
      <c r="AS19" s="1157">
        <v>0</v>
      </c>
    </row>
    <row s="1368" customFormat="1" customHeight="1" ht="22.5" hidden="1">
      <c r="L20" s="1331"/>
      <c r="M20" s="1364"/>
      <c r="N20" s="1364"/>
      <c r="O20" s="1369" t="s">
        <v>412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413</v>
      </c>
      <c r="P22" s="1364"/>
      <c r="Q22" s="1373"/>
      <c r="R22" s="1373"/>
      <c r="S22" s="731"/>
      <c r="T22" s="1162" t="s">
        <v>414</v>
      </c>
      <c r="AA22" s="188" t="s">
        <v>415</v>
      </c>
      <c r="AC22" s="188" t="s">
        <v>416</v>
      </c>
      <c r="AD22" s="1162" t="s">
        <v>414</v>
      </c>
      <c r="AI22" s="188" t="s">
        <v>417</v>
      </c>
      <c r="AK22" s="188" t="s">
        <v>416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3"/>
      <c r="U26" s="2323"/>
      <c r="V26" s="2323"/>
      <c r="W26" s="2323"/>
      <c r="X26" s="2323"/>
      <c r="Y26" s="2323"/>
      <c r="Z26" s="2323"/>
      <c r="AA26" s="2323"/>
      <c r="AB26" s="2323"/>
      <c r="AC26" s="2323"/>
      <c r="AD26" s="2323"/>
      <c r="AE26" s="2323"/>
      <c r="AF26" s="2323"/>
      <c r="AG26" s="2323"/>
      <c r="AH26" s="2323"/>
      <c r="AI26" s="2323"/>
      <c r="AJ26" s="2323"/>
      <c r="AK26" s="1245"/>
      <c r="AS26" s="1157">
        <v>52</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2" customFormat="1" customHeight="1" ht="25.5" hidden="1">
      <c r="A29" s="1370"/>
      <c r="B29" s="1370"/>
      <c r="C29" s="1370"/>
      <c r="D29" s="1370"/>
      <c r="E29" s="1370"/>
      <c r="F29" s="1370"/>
      <c r="G29" s="1370"/>
      <c r="H29" s="1370"/>
      <c r="I29" s="1370"/>
      <c r="J29" s="1370"/>
      <c r="K29" s="1370"/>
      <c r="L29" s="1371"/>
      <c r="M29" s="1370"/>
      <c r="N29" s="1370"/>
      <c r="O29" s="137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328"/>
      <c r="AD29" s="2270" t="str">
        <f>IF(TITLE_NAME_OR_PR_CHANGE="",IF(TITLE_NAME_OR_PR="","",TITLE_NAME_OR_PR),TITLE_NAME_OR_PR_CHANGE)</f>
        <v/>
      </c>
      <c r="AE29" s="2270"/>
      <c r="AF29" s="2270"/>
      <c r="AG29" s="2270"/>
      <c r="AH29" s="2270"/>
      <c r="AI29" s="2270"/>
      <c r="AJ29" s="2270"/>
      <c r="AK29" s="328"/>
      <c r="AL29" s="328"/>
      <c r="AM29" s="282"/>
      <c r="AN29" s="370"/>
      <c r="AO29" s="370"/>
      <c r="AP29" s="370"/>
      <c r="AQ29" s="370"/>
      <c r="AR29" s="370"/>
      <c r="AS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328"/>
      <c r="AD30" s="2269" t="str">
        <f>IF(TITLE_DATE_PR_CHANGE="",IF(TITLE_DATE_PR="","",TITLE_DATE_PR),TITLE_DATE_PR_CHANGE)</f>
        <v/>
      </c>
      <c r="AE30" s="2269"/>
      <c r="AF30" s="2269"/>
      <c r="AG30" s="2269"/>
      <c r="AH30" s="2269"/>
      <c r="AI30" s="2269"/>
      <c r="AJ30" s="2269"/>
      <c r="AK30" s="328"/>
      <c r="AL30" s="328"/>
      <c r="AM30" s="282"/>
      <c r="AN30" s="370"/>
      <c r="AO30" s="370"/>
      <c r="AP30" s="370"/>
      <c r="AQ30" s="370"/>
      <c r="AR30" s="370"/>
      <c r="AS30" s="420">
        <v>0</v>
      </c>
    </row>
    <row s="1852" customFormat="1" customHeight="1" ht="18.75" hidden="1">
      <c r="A31" s="1370"/>
      <c r="B31" s="1370"/>
      <c r="C31" s="1370"/>
      <c r="D31" s="1370"/>
      <c r="E31" s="1370"/>
      <c r="F31" s="1370"/>
      <c r="G31" s="1370"/>
      <c r="H31" s="1370"/>
      <c r="I31" s="1370"/>
      <c r="J31" s="1370"/>
      <c r="K31" s="1370"/>
      <c r="L31" s="1371"/>
      <c r="M31" s="1370"/>
      <c r="N31" s="1370"/>
      <c r="O31" s="137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328"/>
      <c r="AD31" s="2270" t="str">
        <f>IF(TITLE_NUMBER_PR_CHANGE="",IF(TITLE_NUMBER_PR="","",TITLE_NUMBER_PR),TITLE_NUMBER_PR_CHANGE)</f>
        <v/>
      </c>
      <c r="AE31" s="2270"/>
      <c r="AF31" s="2270"/>
      <c r="AG31" s="2270"/>
      <c r="AH31" s="2270"/>
      <c r="AI31" s="2270"/>
      <c r="AJ31" s="2270"/>
      <c r="AK31" s="328"/>
      <c r="AL31" s="328"/>
      <c r="AM31" s="282"/>
      <c r="AN31" s="370"/>
      <c r="AO31" s="370"/>
      <c r="AP31" s="370"/>
      <c r="AQ31" s="370"/>
      <c r="AR31" s="370"/>
      <c r="AS31" s="420">
        <v>0</v>
      </c>
    </row>
    <row s="1852" customFormat="1" customHeight="1" ht="18.75" hidden="1">
      <c r="A32" s="1370"/>
      <c r="B32" s="1370"/>
      <c r="C32" s="1370"/>
      <c r="D32" s="1370"/>
      <c r="E32" s="1370"/>
      <c r="F32" s="1370"/>
      <c r="G32" s="1370"/>
      <c r="H32" s="1370"/>
      <c r="I32" s="1370"/>
      <c r="J32" s="1370"/>
      <c r="K32" s="1370"/>
      <c r="L32" s="1371"/>
      <c r="M32" s="1370"/>
      <c r="N32" s="1370"/>
      <c r="O32" s="1370"/>
      <c r="S32" s="2268" t="s">
        <v>43</v>
      </c>
      <c r="T32" s="2268"/>
      <c r="U32" s="1374"/>
      <c r="V32" s="2270" t="str">
        <f>IF(TITLE_IST_PUB_CHANGE="",IF(TITLE_IST_PUB="","",TITLE_IST_PUB),TITLE_IST_PUB_CHANGE)</f>
        <v/>
      </c>
      <c r="W32" s="2270"/>
      <c r="X32" s="2270"/>
      <c r="Y32" s="2270"/>
      <c r="Z32" s="2270"/>
      <c r="AA32" s="2270"/>
      <c r="AB32" s="2270"/>
      <c r="AC32" s="328"/>
      <c r="AD32" s="2270" t="str">
        <f>IF(TITLE_IST_PUB_CHANGE="",IF(TITLE_IST_PUB="","",TITLE_IST_PUB),TITLE_IST_PUB_CHANGE)</f>
        <v/>
      </c>
      <c r="AE32" s="2270"/>
      <c r="AF32" s="2270"/>
      <c r="AG32" s="2270"/>
      <c r="AH32" s="2270"/>
      <c r="AI32" s="2270"/>
      <c r="AJ32" s="2270"/>
      <c r="AK32" s="328"/>
      <c r="AL32" s="328"/>
      <c r="AM32" s="282"/>
      <c r="AN32" s="370"/>
      <c r="AO32" s="370"/>
      <c r="AP32" s="370"/>
      <c r="AQ32" s="370"/>
      <c r="AR32" s="370"/>
      <c r="AS32" s="420">
        <v>0</v>
      </c>
    </row>
    <row customHeight="1" ht="14.25" hidden="1">
      <c r="Q33" s="378"/>
      <c r="R33" s="378"/>
      <c r="S33" s="1277"/>
      <c r="T33" s="459"/>
      <c r="U33" s="365"/>
      <c r="V33" s="324"/>
      <c r="W33" s="324"/>
      <c r="X33" s="324"/>
      <c r="Y33" s="324"/>
      <c r="Z33" s="324"/>
      <c r="AA33" s="324"/>
      <c r="AB33" s="324"/>
      <c r="AC33" s="324"/>
      <c r="AD33" s="324"/>
      <c r="AE33" s="324"/>
      <c r="AF33" s="324"/>
      <c r="AG33" s="324"/>
      <c r="AH33" s="324"/>
      <c r="AI33" s="324"/>
      <c r="AJ33" s="324"/>
      <c r="AK33" s="324"/>
      <c r="AL33" s="511"/>
      <c r="AS33" s="1157">
        <v>0</v>
      </c>
    </row>
    <row s="1852" customFormat="1" customHeight="1" ht="18.75" hidden="1">
      <c r="A34" s="1370"/>
      <c r="B34" s="1370"/>
      <c r="C34" s="1370"/>
      <c r="D34" s="1370"/>
      <c r="E34" s="1370"/>
      <c r="F34" s="1370"/>
      <c r="G34" s="1370"/>
      <c r="H34" s="1370"/>
      <c r="I34" s="1370"/>
      <c r="J34" s="1370"/>
      <c r="K34" s="1370"/>
      <c r="L34" s="1371"/>
      <c r="M34" s="1370"/>
      <c r="N34" s="1370"/>
      <c r="O34" s="137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328"/>
      <c r="AD34" s="2269" t="str">
        <f>IF(TITLE_DATE_PR_CHANGE="",IF(TITLE_DATE_PR="","",TITLE_DATE_PR),TITLE_DATE_PR_CHANGE)</f>
        <v/>
      </c>
      <c r="AE34" s="2269"/>
      <c r="AF34" s="2269"/>
      <c r="AG34" s="2269"/>
      <c r="AH34" s="2269"/>
      <c r="AI34" s="2269"/>
      <c r="AJ34" s="2269"/>
      <c r="AK34" s="328"/>
      <c r="AL34" s="328"/>
      <c r="AM34" s="282"/>
      <c r="AN34" s="370"/>
      <c r="AO34" s="370"/>
      <c r="AP34" s="370"/>
      <c r="AQ34" s="370"/>
      <c r="AR34" s="370"/>
      <c r="AS34" s="420">
        <v>0</v>
      </c>
    </row>
    <row s="1852" customFormat="1" customHeight="1" ht="18.75" hidden="1">
      <c r="A35" s="1370"/>
      <c r="B35" s="1370"/>
      <c r="C35" s="1370"/>
      <c r="D35" s="1370"/>
      <c r="E35" s="1370"/>
      <c r="F35" s="1370"/>
      <c r="G35" s="1370"/>
      <c r="H35" s="1370"/>
      <c r="I35" s="1370"/>
      <c r="J35" s="1370"/>
      <c r="K35" s="1370"/>
      <c r="L35" s="1371"/>
      <c r="M35" s="1370"/>
      <c r="N35" s="1370"/>
      <c r="O35" s="137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328"/>
      <c r="AD35" s="2270" t="str">
        <f>IF(TITLE_NUMBER_PR_CHANGE="",IF(TITLE_NUMBER_PR="","",TITLE_NUMBER_PR),TITLE_NUMBER_PR_CHANGE)</f>
        <v/>
      </c>
      <c r="AE35" s="2270"/>
      <c r="AF35" s="2270"/>
      <c r="AG35" s="2270"/>
      <c r="AH35" s="2270"/>
      <c r="AI35" s="2270"/>
      <c r="AJ35" s="2270"/>
      <c r="AK35" s="328"/>
      <c r="AL35" s="328"/>
      <c r="AM35" s="282"/>
      <c r="AN35" s="370"/>
      <c r="AO35" s="370"/>
      <c r="AP35" s="370"/>
      <c r="AQ35" s="370"/>
      <c r="AR35" s="370"/>
      <c r="AS35" s="420">
        <v>0</v>
      </c>
    </row>
    <row s="1852"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418</v>
      </c>
      <c r="AD36" s="328"/>
      <c r="AE36" s="328"/>
      <c r="AF36" s="328"/>
      <c r="AG36" s="328"/>
      <c r="AH36" s="328"/>
      <c r="AI36" s="328"/>
      <c r="AJ36" s="328"/>
      <c r="AK36" s="280" t="s">
        <v>418</v>
      </c>
      <c r="AN36" s="370"/>
      <c r="AO36" s="370"/>
      <c r="AP36" s="370"/>
      <c r="AQ36" s="370"/>
      <c r="AR36" s="370"/>
      <c r="AS36" s="420">
        <v>0</v>
      </c>
    </row>
    <row customHeight="1" ht="14.699999999999998">
      <c r="Q37" s="378"/>
      <c r="R37" s="378"/>
      <c r="S37" s="1277"/>
      <c r="T37" s="365"/>
      <c r="U37" s="1246"/>
      <c r="V37" s="2294"/>
      <c r="W37" s="2294"/>
      <c r="X37" s="2294"/>
      <c r="Y37" s="2294"/>
      <c r="Z37" s="2294"/>
      <c r="AA37" s="2294"/>
      <c r="AB37" s="2294"/>
      <c r="AC37" s="2294"/>
      <c r="AD37" s="2294"/>
      <c r="AE37" s="2294"/>
      <c r="AF37" s="2294"/>
      <c r="AG37" s="2294"/>
      <c r="AH37" s="2294"/>
      <c r="AI37" s="2294"/>
      <c r="AJ37" s="2294"/>
      <c r="AK37" s="2294"/>
      <c r="AS37" s="1157">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157">
        <v>14</v>
      </c>
    </row>
    <row customHeight="1" ht="14.699999999999998">
      <c r="Q39" s="378"/>
      <c r="R39" s="378"/>
      <c r="S39" s="2295" t="s">
        <v>88</v>
      </c>
      <c r="T39" s="2232" t="s">
        <v>419</v>
      </c>
      <c r="U39" s="303"/>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157">
        <v>14</v>
      </c>
    </row>
    <row customHeight="1" ht="35.699999999999996">
      <c r="Q40" s="378"/>
      <c r="R40" s="378"/>
      <c r="S40" s="2295"/>
      <c r="T40" s="2232"/>
      <c r="U40" s="1033"/>
      <c r="V40" s="2305" t="s">
        <v>424</v>
      </c>
      <c r="W40" s="2286"/>
      <c r="X40" s="2288" t="s">
        <v>426</v>
      </c>
      <c r="Y40" s="2290"/>
      <c r="Z40" s="2288" t="s">
        <v>427</v>
      </c>
      <c r="AA40" s="2289"/>
      <c r="AB40" s="2290"/>
      <c r="AC40" s="2300"/>
      <c r="AD40" s="2305" t="s">
        <v>424</v>
      </c>
      <c r="AE40" s="2286"/>
      <c r="AF40" s="2288" t="s">
        <v>426</v>
      </c>
      <c r="AG40" s="2290"/>
      <c r="AH40" s="2288" t="s">
        <v>427</v>
      </c>
      <c r="AI40" s="2289"/>
      <c r="AJ40" s="2290"/>
      <c r="AK40" s="2300"/>
      <c r="AL40" s="2303"/>
      <c r="AM40" s="2140"/>
      <c r="AS40" s="1157">
        <v>34</v>
      </c>
    </row>
    <row customHeight="1" ht="35.699999999999996">
      <c r="A41" s="1372"/>
      <c r="B41" s="1372" t="s">
        <v>132</v>
      </c>
      <c r="C41" s="1372" t="s">
        <v>133</v>
      </c>
      <c r="D41" s="1372" t="s">
        <v>134</v>
      </c>
      <c r="E41" s="1366" t="s">
        <v>428</v>
      </c>
      <c r="F41" s="1366" t="s">
        <v>429</v>
      </c>
      <c r="G41" s="1366" t="s">
        <v>430</v>
      </c>
      <c r="H41" s="1366" t="s">
        <v>431</v>
      </c>
      <c r="I41" s="1366" t="s">
        <v>432</v>
      </c>
      <c r="J41" s="1366" t="s">
        <v>433</v>
      </c>
      <c r="K41" s="1366" t="s">
        <v>434</v>
      </c>
      <c r="L41" s="1366" t="s">
        <v>413</v>
      </c>
      <c r="Q41" s="378"/>
      <c r="R41" s="378"/>
      <c r="S41" s="2295"/>
      <c r="T41" s="2232"/>
      <c r="U41" s="304"/>
      <c r="V41" s="2306"/>
      <c r="W41" s="2287"/>
      <c r="X41" s="1224" t="s">
        <v>435</v>
      </c>
      <c r="Y41" s="1224" t="s">
        <v>436</v>
      </c>
      <c r="Z41" s="1340" t="s">
        <v>437</v>
      </c>
      <c r="AA41" s="2291" t="s">
        <v>438</v>
      </c>
      <c r="AB41" s="2292"/>
      <c r="AC41" s="2301"/>
      <c r="AD41" s="2306"/>
      <c r="AE41" s="2287"/>
      <c r="AF41" s="1224" t="s">
        <v>435</v>
      </c>
      <c r="AG41" s="1224" t="s">
        <v>436</v>
      </c>
      <c r="AH41" s="1340" t="s">
        <v>437</v>
      </c>
      <c r="AI41" s="2291" t="s">
        <v>438</v>
      </c>
      <c r="AJ41" s="2292"/>
      <c r="AK41" s="2301"/>
      <c r="AL41" s="2304"/>
      <c r="AM41" s="2140"/>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106</v>
      </c>
      <c r="T42" s="1257" t="s">
        <v>107</v>
      </c>
      <c r="U42" s="1247" t="str">
        <f>OFFSET(U42,0,-1)</f>
        <v>2</v>
      </c>
      <c r="V42" s="1337">
        <f>OFFSET(V42,0,-1)+1</f>
        <v>3</v>
      </c>
      <c r="W42" s="1337"/>
      <c r="X42" s="1337">
        <f>OFFSET(X42,0,-1)+1</f>
        <v>1</v>
      </c>
      <c r="Y42" s="1337">
        <f>OFFSET(Y42,0,-1)+1</f>
        <v>2</v>
      </c>
      <c r="Z42" s="1337">
        <f>OFFSET(Z42,0,-1)+1</f>
        <v>3</v>
      </c>
      <c r="AA42" s="2293">
        <f>OFFSET(AA42,0,-1)+1</f>
        <v>4</v>
      </c>
      <c r="AB42" s="2293"/>
      <c r="AC42" s="1337">
        <f>OFFSET(AC42,0,-2)+1</f>
        <v>5</v>
      </c>
      <c r="AD42" s="1337">
        <f>OFFSET(AD42,0,-1)+1</f>
        <v>6</v>
      </c>
      <c r="AE42" s="1337"/>
      <c r="AF42" s="1337">
        <f>OFFSET(AF42,0,-1)+1</f>
        <v>1</v>
      </c>
      <c r="AG42" s="1337">
        <f>OFFSET(AG42,0,-1)+1</f>
        <v>2</v>
      </c>
      <c r="AH42" s="1337">
        <f>OFFSET(AH42,0,-1)+1</f>
        <v>3</v>
      </c>
      <c r="AI42" s="2293">
        <f>OFFSET(AI42,0,-1)+1</f>
        <v>4</v>
      </c>
      <c r="AJ42" s="2293"/>
      <c r="AK42" s="1337">
        <f>OFFSET(AK42,0,-2)+1</f>
        <v>5</v>
      </c>
      <c r="AL42" s="1247">
        <f>OFFSET(AL42,0,-1)</f>
        <v>5</v>
      </c>
      <c r="AM42" s="1337">
        <f>OFFSET(AM42,0,-1)+1</f>
        <v>6</v>
      </c>
      <c r="AN42" s="513"/>
      <c r="AO42" s="513"/>
      <c r="AP42" s="513"/>
      <c r="AQ42" s="513"/>
      <c r="AR42" s="513"/>
      <c r="AS42" s="498">
        <v>0</v>
      </c>
    </row>
    <row customHeight="1" ht="22.049999999999997">
      <c r="A43" s="1365" t="s">
        <v>177</v>
      </c>
      <c r="B43" s="1365"/>
      <c r="C43" s="1365"/>
      <c r="D43" s="1365"/>
      <c r="E43" s="2277">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177</v>
      </c>
      <c r="B44" s="1365" t="s">
        <v>178</v>
      </c>
      <c r="C44" s="1365"/>
      <c r="D44" s="1365"/>
      <c r="E44" s="2278"/>
      <c r="F44" s="2277">
        <v>1</v>
      </c>
      <c r="G44" s="1365"/>
      <c r="H44" s="1365"/>
      <c r="I44" s="1365"/>
      <c r="J44" s="1365"/>
      <c r="K44" s="1365"/>
      <c r="L44" s="1366"/>
      <c r="M44" s="1367"/>
      <c r="N44" s="1367"/>
      <c r="O44" s="1367"/>
      <c r="P44" s="1334"/>
      <c r="Q44" s="354"/>
      <c r="R44" s="355"/>
      <c r="S44" s="1338" t="str">
        <f>INDEX(PT_DIFFERENTIATION_NUM_TER,MATCH(B44,PT_DIFFERENTIATION_TER_ID,0))</f>
        <v>.</v>
      </c>
      <c r="T44" s="310"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502"/>
      <c r="AP44" s="502" t="str">
        <f>IF(T44="","",T44)</f>
        <v>Территория действия тарифа</v>
      </c>
      <c r="AQ44" s="502"/>
      <c r="AR44" s="502"/>
      <c r="AS44" s="1157">
        <v>21</v>
      </c>
    </row>
    <row customHeight="1" ht="24">
      <c r="A45" s="1365" t="s">
        <v>177</v>
      </c>
      <c r="B45" s="1365" t="s">
        <v>178</v>
      </c>
      <c r="C45" s="1365" t="s">
        <v>179</v>
      </c>
      <c r="D45" s="1365"/>
      <c r="E45" s="2278"/>
      <c r="F45" s="2278"/>
      <c r="G45" s="2277">
        <v>1</v>
      </c>
      <c r="H45" s="1365"/>
      <c r="I45" s="1365"/>
      <c r="J45" s="1365"/>
      <c r="K45" s="1365"/>
      <c r="L45" s="1366"/>
      <c r="M45" s="1367"/>
      <c r="N45" s="1367"/>
      <c r="O45" s="1367"/>
      <c r="P45" s="356"/>
      <c r="Q45" s="354"/>
      <c r="R45" s="355"/>
      <c r="S45" s="1338"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502"/>
      <c r="AP45" s="502" t="str">
        <f>IF(T45="","",T45)</f>
        <v>Наименование системы теплоснабжения </v>
      </c>
      <c r="AQ45" s="502"/>
      <c r="AR45" s="502"/>
      <c r="AS45" s="1157">
        <v>23</v>
      </c>
    </row>
    <row customHeight="1" ht="22.049999999999997">
      <c r="A46" s="1365" t="s">
        <v>177</v>
      </c>
      <c r="B46" s="1365" t="s">
        <v>178</v>
      </c>
      <c r="C46" s="1365" t="s">
        <v>179</v>
      </c>
      <c r="D46" s="1365" t="s">
        <v>180</v>
      </c>
      <c r="E46" s="2278"/>
      <c r="F46" s="2278"/>
      <c r="G46" s="2278"/>
      <c r="H46" s="2277">
        <v>1</v>
      </c>
      <c r="I46" s="1365"/>
      <c r="J46" s="1365"/>
      <c r="K46" s="1365"/>
      <c r="L46" s="1366"/>
      <c r="M46" s="1367"/>
      <c r="N46" s="1367"/>
      <c r="O46" s="1367"/>
      <c r="P46" s="356"/>
      <c r="Q46" s="354"/>
      <c r="R46" s="355"/>
      <c r="S46" s="1338"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502"/>
      <c r="AP46" s="502" t="str">
        <f>IF(T46="","",T46)</f>
        <v>Источник тепловой энергии  </v>
      </c>
      <c r="AQ46" s="502"/>
      <c r="AR46" s="502"/>
      <c r="AS46" s="1157">
        <v>21</v>
      </c>
    </row>
    <row s="1644" customFormat="1" customHeight="1" ht="0">
      <c r="A47" s="1345" t="s">
        <v>177</v>
      </c>
      <c r="B47" s="1345" t="s">
        <v>178</v>
      </c>
      <c r="C47" s="1345" t="s">
        <v>179</v>
      </c>
      <c r="D47" s="1345" t="s">
        <v>180</v>
      </c>
      <c r="E47" s="2278"/>
      <c r="F47" s="2278"/>
      <c r="G47" s="2278"/>
      <c r="H47" s="2278"/>
      <c r="I47" s="2279" t="str">
        <f>S46&amp;".1"</f>
        <v>....1</v>
      </c>
      <c r="J47" s="1345"/>
      <c r="K47" s="1345"/>
      <c r="L47" s="1348" t="s">
        <v>398</v>
      </c>
      <c r="M47" s="512"/>
      <c r="N47" s="512"/>
      <c r="O47" s="512"/>
      <c r="P47" s="2281">
        <v>1</v>
      </c>
      <c r="Q47" s="1333"/>
      <c r="R47" s="358"/>
      <c r="S47" s="1044"/>
      <c r="T47" s="1385"/>
      <c r="U47" s="1386"/>
      <c r="V47" s="2319"/>
      <c r="W47" s="2320"/>
      <c r="X47" s="2320"/>
      <c r="Y47" s="2320"/>
      <c r="Z47" s="2320"/>
      <c r="AA47" s="2320"/>
      <c r="AB47" s="2320"/>
      <c r="AC47" s="2321"/>
      <c r="AD47" s="2319"/>
      <c r="AE47" s="2320"/>
      <c r="AF47" s="2320"/>
      <c r="AG47" s="2320"/>
      <c r="AH47" s="2320"/>
      <c r="AI47" s="2320"/>
      <c r="AJ47" s="2320"/>
      <c r="AK47" s="2320"/>
      <c r="AL47" s="2321"/>
      <c r="AM47" s="1387"/>
      <c r="AO47" s="502"/>
      <c r="AP47" s="502" t="str">
        <f>IF(T47="","",T47)</f>
        <v/>
      </c>
      <c r="AQ47" s="502"/>
      <c r="AR47" s="502"/>
      <c r="AS47" s="513">
        <v>0</v>
      </c>
    </row>
    <row customHeight="1" ht="22.049999999999997">
      <c r="A48" s="1365" t="s">
        <v>177</v>
      </c>
      <c r="B48" s="1365" t="s">
        <v>178</v>
      </c>
      <c r="C48" s="1365" t="s">
        <v>179</v>
      </c>
      <c r="D48" s="1365" t="s">
        <v>180</v>
      </c>
      <c r="E48" s="2278"/>
      <c r="F48" s="2278"/>
      <c r="G48" s="2278"/>
      <c r="H48" s="2278"/>
      <c r="I48" s="2280"/>
      <c r="J48" s="2279" t="str">
        <f>S46&amp;".1"</f>
        <v>....1</v>
      </c>
      <c r="K48" s="1365"/>
      <c r="L48" s="1366" t="s">
        <v>401</v>
      </c>
      <c r="P48" s="2281"/>
      <c r="Q48" s="2281">
        <v>1</v>
      </c>
      <c r="R48" s="359"/>
      <c r="S48" s="1338" t="str">
        <f>$J48</f>
        <v>....1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502"/>
      <c r="AP48" s="502" t="str">
        <f>IF(T48="","",T48)</f>
        <v>Группа потребителей</v>
      </c>
      <c r="AQ48" s="502"/>
      <c r="AR48" s="502"/>
      <c r="AS48" s="1157">
        <v>21</v>
      </c>
    </row>
    <row customHeight="1" ht="22.049999999999997">
      <c r="A49" s="1365" t="s">
        <v>177</v>
      </c>
      <c r="B49" s="1365" t="s">
        <v>178</v>
      </c>
      <c r="C49" s="1365" t="s">
        <v>179</v>
      </c>
      <c r="D49" s="1365" t="s">
        <v>180</v>
      </c>
      <c r="E49" s="2278"/>
      <c r="F49" s="2278"/>
      <c r="G49" s="2278"/>
      <c r="H49" s="2278"/>
      <c r="I49" s="2280"/>
      <c r="J49" s="2280"/>
      <c r="K49" s="2279" t="str">
        <f>J48&amp;".1"</f>
        <v>....1.1</v>
      </c>
      <c r="L49" s="1366" t="s">
        <v>404</v>
      </c>
      <c r="P49" s="2281"/>
      <c r="Q49" s="2281"/>
      <c r="R49" s="359">
        <v>1</v>
      </c>
      <c r="S49" s="1338" t="str">
        <f>$K49</f>
        <v>....1.1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442</v>
      </c>
      <c r="AN49" s="513">
        <f>STRCHECKDATE(V50:AL50)</f>
      </c>
      <c r="AO49" s="502"/>
      <c r="AP49" s="502" t="str">
        <f>IF(T49="","",T49)</f>
        <v/>
      </c>
      <c r="AQ49" s="502"/>
      <c r="AR49" s="502"/>
      <c r="AS49" s="1157">
        <v>21</v>
      </c>
    </row>
    <row customHeight="1" ht="1.05">
      <c r="A50" s="1365" t="s">
        <v>177</v>
      </c>
      <c r="B50" s="1365" t="s">
        <v>178</v>
      </c>
      <c r="C50" s="1365" t="s">
        <v>179</v>
      </c>
      <c r="D50" s="1365" t="s">
        <v>180</v>
      </c>
      <c r="E50" s="2278"/>
      <c r="F50" s="2278"/>
      <c r="G50" s="2278"/>
      <c r="H50" s="2278"/>
      <c r="I50" s="2280"/>
      <c r="J50" s="2280"/>
      <c r="K50" s="2279"/>
      <c r="L50" s="1366"/>
      <c r="P50" s="2281"/>
      <c r="Q50" s="2281"/>
      <c r="R50" s="359"/>
      <c r="S50" s="1344"/>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502"/>
      <c r="AP50" s="502" t="str">
        <f>IF(T50="","",T50)</f>
        <v/>
      </c>
      <c r="AQ50" s="502"/>
      <c r="AR50" s="502"/>
      <c r="AS50" s="1157">
        <v>1</v>
      </c>
    </row>
    <row customHeight="1" ht="11.549999999999999">
      <c r="A51" s="1365" t="s">
        <v>177</v>
      </c>
      <c r="B51" s="1365" t="s">
        <v>178</v>
      </c>
      <c r="C51" s="1365" t="s">
        <v>179</v>
      </c>
      <c r="D51" s="1365" t="s">
        <v>180</v>
      </c>
      <c r="E51" s="2278"/>
      <c r="F51" s="2278"/>
      <c r="G51" s="2278"/>
      <c r="H51" s="2278"/>
      <c r="I51" s="2280"/>
      <c r="J51" s="2279"/>
      <c r="K51" s="1365"/>
      <c r="L51" s="1366"/>
      <c r="P51" s="2281"/>
      <c r="Q51" s="2281"/>
      <c r="R51" s="358"/>
      <c r="S51" s="1280"/>
      <c r="T51" s="289" t="s">
        <v>406</v>
      </c>
      <c r="U51" s="369"/>
      <c r="V51" s="369"/>
      <c r="W51" s="369"/>
      <c r="X51" s="369"/>
      <c r="Y51" s="369"/>
      <c r="Z51" s="369"/>
      <c r="AA51" s="369"/>
      <c r="AB51" s="369"/>
      <c r="AC51" s="369"/>
      <c r="AD51" s="369"/>
      <c r="AE51" s="369"/>
      <c r="AF51" s="369"/>
      <c r="AG51" s="369"/>
      <c r="AH51" s="369"/>
      <c r="AI51" s="369"/>
      <c r="AJ51" s="369"/>
      <c r="AK51" s="369"/>
      <c r="AL51" s="326"/>
      <c r="AM51" s="2309"/>
      <c r="AO51" s="502"/>
      <c r="AP51" s="502" t="str">
        <f>IF(T51="","",T51)</f>
        <v>Добавить вид теплоносителя (параметры теплоносителя)</v>
      </c>
      <c r="AQ51" s="502"/>
      <c r="AR51" s="502"/>
      <c r="AS51" s="1157">
        <v>11</v>
      </c>
    </row>
    <row customHeight="1" ht="11.549999999999999">
      <c r="A52" s="1365" t="s">
        <v>177</v>
      </c>
      <c r="B52" s="1365" t="s">
        <v>178</v>
      </c>
      <c r="C52" s="1365" t="s">
        <v>179</v>
      </c>
      <c r="D52" s="1365" t="s">
        <v>180</v>
      </c>
      <c r="E52" s="2278"/>
      <c r="F52" s="2278"/>
      <c r="G52" s="2278"/>
      <c r="H52" s="2278"/>
      <c r="I52" s="2279"/>
      <c r="J52" s="1365"/>
      <c r="K52" s="1365"/>
      <c r="L52" s="1366"/>
      <c r="P52" s="2281"/>
      <c r="Q52" s="1333"/>
      <c r="R52" s="358"/>
      <c r="S52" s="1280"/>
      <c r="T52" s="367" t="s">
        <v>407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177</v>
      </c>
      <c r="B53" s="1365" t="s">
        <v>178</v>
      </c>
      <c r="C53" s="1365" t="s">
        <v>179</v>
      </c>
      <c r="D53" s="1365" t="s">
        <v>180</v>
      </c>
      <c r="E53" s="2278"/>
      <c r="F53" s="2278"/>
      <c r="G53" s="2278"/>
      <c r="H53" s="2277"/>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177</v>
      </c>
      <c r="B54" s="1345" t="s">
        <v>178</v>
      </c>
      <c r="C54" s="1345" t="s">
        <v>179</v>
      </c>
      <c r="D54" s="1316"/>
      <c r="E54" s="2278"/>
      <c r="F54" s="2278"/>
      <c r="G54" s="2277"/>
      <c r="H54" s="1316"/>
      <c r="I54" s="1316"/>
      <c r="J54" s="1316"/>
      <c r="K54" s="1316"/>
      <c r="L54" s="1341"/>
      <c r="M54" s="1317"/>
      <c r="N54" s="131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177</v>
      </c>
      <c r="B55" s="1345" t="s">
        <v>178</v>
      </c>
      <c r="C55" s="1316"/>
      <c r="D55" s="1316"/>
      <c r="E55" s="2278"/>
      <c r="F55" s="2277"/>
      <c r="G55" s="1316"/>
      <c r="H55" s="1316"/>
      <c r="I55" s="1316"/>
      <c r="J55" s="1316"/>
      <c r="K55" s="1316"/>
      <c r="L55" s="1341"/>
      <c r="M55" s="1323"/>
      <c r="N55" s="132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177</v>
      </c>
      <c r="B56" s="1345"/>
      <c r="C56" s="1345"/>
      <c r="D56" s="1345"/>
      <c r="E56" s="2277"/>
      <c r="F56" s="1345"/>
      <c r="G56" s="1345"/>
      <c r="H56" s="1345"/>
      <c r="I56" s="1345"/>
      <c r="J56" s="1345"/>
      <c r="K56" s="1345"/>
      <c r="L56" s="1348"/>
      <c r="M56" s="1323"/>
      <c r="N56" s="1323"/>
      <c r="O56" s="520"/>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157">
        <v>22</v>
      </c>
    </row>
    <row customHeight="1" ht="30.45">
      <c r="O60" s="539"/>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157">
        <v>29</v>
      </c>
    </row>
    <row customHeight="1" ht="42">
      <c r="O61" s="539"/>
      <c r="T61" s="2276"/>
      <c r="U61" s="2276"/>
      <c r="V61" s="2276"/>
      <c r="W61" s="2276"/>
      <c r="X61" s="2276"/>
      <c r="Y61" s="2276"/>
      <c r="Z61" s="2276"/>
      <c r="AA61" s="2276"/>
      <c r="AB61" s="2276"/>
      <c r="AC61" s="2276"/>
      <c r="AD61" s="2276"/>
      <c r="AE61" s="2276"/>
      <c r="AF61" s="2276"/>
      <c r="AG61" s="2276"/>
      <c r="AH61" s="2276"/>
      <c r="AI61" s="2276"/>
      <c r="AJ61" s="2276"/>
      <c r="AK61" s="2276"/>
      <c r="AL61" s="2276"/>
      <c r="AM61" s="2276"/>
      <c r="AS61" s="1157">
        <v>40</v>
      </c>
    </row>
    <row customHeight="1" ht="14.699999999999998">
      <c r="O62" s="539"/>
      <c r="AS62" s="1157">
        <v>14</v>
      </c>
    </row>
    <row customHeight="1" ht="21">
      <c r="O63" s="539"/>
      <c r="S63" s="1255"/>
      <c r="T63" s="2322"/>
      <c r="U63" s="2276"/>
      <c r="V63" s="2276"/>
      <c r="W63" s="2276"/>
      <c r="X63" s="2276"/>
      <c r="Y63" s="2276"/>
      <c r="Z63" s="2276"/>
      <c r="AA63" s="2276"/>
      <c r="AB63" s="2276"/>
      <c r="AC63" s="2276"/>
      <c r="AD63" s="2276"/>
      <c r="AE63" s="2276"/>
      <c r="AF63" s="2276"/>
      <c r="AG63" s="2276"/>
      <c r="AH63" s="2276"/>
      <c r="AI63" s="2276"/>
      <c r="AJ63" s="2276"/>
      <c r="AK63" s="2276"/>
      <c r="AL63" s="2276"/>
      <c r="AM63" s="2276"/>
      <c r="AS63" s="1157">
        <v>20</v>
      </c>
    </row>
    <row customHeight="1" ht="29.25">
      <c r="O64" s="539"/>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157">
        <v>28</v>
      </c>
    </row>
    <row customHeight="1" ht="35.699999999999996">
      <c r="T65" s="2276"/>
      <c r="U65" s="2276"/>
      <c r="V65" s="2276"/>
      <c r="W65" s="2276"/>
      <c r="X65" s="2276"/>
      <c r="Y65" s="2276"/>
      <c r="Z65" s="2276"/>
      <c r="AA65" s="2276"/>
      <c r="AB65" s="2276"/>
      <c r="AC65" s="2276"/>
      <c r="AD65" s="2276"/>
      <c r="AE65" s="2276"/>
      <c r="AF65" s="2276"/>
      <c r="AG65" s="2276"/>
      <c r="AH65" s="2276"/>
      <c r="AI65" s="2276"/>
      <c r="AJ65" s="2276"/>
      <c r="AK65" s="2276"/>
      <c r="AL65" s="2276"/>
      <c r="AM65" s="2276"/>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A1A08-C813-5EC8-6158-2C957ADD50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2420" width="3.7109375" hidden="1" customWidth="1"/>
    <col min="17" max="18" style="346" width="3.00390625" customWidth="1"/>
    <col min="19" max="19" style="2433"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77">
        <v>1</v>
      </c>
      <c r="F2" s="1365"/>
      <c r="G2" s="1365"/>
      <c r="H2" s="1365"/>
      <c r="I2" s="1365"/>
      <c r="J2" s="1365"/>
      <c r="K2" s="1365"/>
      <c r="L2" s="1366"/>
      <c r="M2" s="1367"/>
      <c r="N2" s="1367"/>
      <c r="O2" s="1367"/>
      <c r="P2" s="363"/>
      <c r="Q2" s="362"/>
      <c r="R2" s="357"/>
      <c r="S2" s="1338">
        <f>INDEX(PT_DIFFERENTIATION_NUM_NTAR,MATCH(A2,PT_DIFFERENTIATION_NTAR_ID,0))</f>
      </c>
      <c r="T2" s="300" t="s">
        <v>120</v>
      </c>
      <c r="U2" s="302"/>
      <c r="V2" s="2271"/>
      <c r="W2" s="2272"/>
      <c r="X2" s="2272"/>
      <c r="Y2" s="2272"/>
      <c r="Z2" s="2272"/>
      <c r="AA2" s="2272"/>
      <c r="AB2" s="2272"/>
      <c r="AC2" s="2273"/>
      <c r="AD2" s="2271">
        <f>INDEX(PT_DIFFERENTIATION_NTAR,MATCH(A2,PT_DIFFERENTIATION_NTAR_ID,0))</f>
      </c>
      <c r="AE2" s="2272"/>
      <c r="AF2" s="2272"/>
      <c r="AG2" s="2272"/>
      <c r="AH2" s="2272"/>
      <c r="AI2" s="2272"/>
      <c r="AJ2" s="2272"/>
      <c r="AK2" s="2272"/>
      <c r="AL2" s="2273"/>
      <c r="AM2" s="1260" t="s">
        <v>391</v>
      </c>
      <c r="AO2" s="502"/>
      <c r="AP2" s="502" t="str">
        <f>IF(T2="","",T2)</f>
        <v>Наименование тарифа</v>
      </c>
      <c r="AQ2" s="502"/>
      <c r="AR2" s="502"/>
      <c r="AS2" s="1157">
        <v>0</v>
      </c>
    </row>
    <row customHeight="1" ht="21" hidden="1">
      <c r="A3" s="1365"/>
      <c r="B3" s="1365"/>
      <c r="C3" s="1365"/>
      <c r="D3" s="1365"/>
      <c r="E3" s="2278"/>
      <c r="F3" s="2277">
        <v>1</v>
      </c>
      <c r="G3" s="1365"/>
      <c r="H3" s="1365"/>
      <c r="I3" s="1365"/>
      <c r="J3" s="1365"/>
      <c r="K3" s="1365"/>
      <c r="L3" s="1366"/>
      <c r="M3" s="1367"/>
      <c r="N3" s="1367"/>
      <c r="O3" s="1367"/>
      <c r="P3" s="1334"/>
      <c r="Q3" s="354"/>
      <c r="R3" s="355"/>
      <c r="S3" s="1338">
        <f>INDEX(PT_DIFFERENTIATION_NUM_TER,MATCH(B3,PT_DIFFERENTIATION_TER_ID,0))</f>
      </c>
      <c r="T3" s="310" t="s">
        <v>392</v>
      </c>
      <c r="U3" s="302"/>
      <c r="V3" s="2271"/>
      <c r="W3" s="2272"/>
      <c r="X3" s="2272"/>
      <c r="Y3" s="2272"/>
      <c r="Z3" s="2272"/>
      <c r="AA3" s="2272"/>
      <c r="AB3" s="2272"/>
      <c r="AC3" s="2273"/>
      <c r="AD3" s="2271">
        <f>INDEX(PT_DIFFERENTIATION_TER,MATCH(B3,PT_DIFFERENTIATION_TER_ID,0))</f>
      </c>
      <c r="AE3" s="2272"/>
      <c r="AF3" s="2272"/>
      <c r="AG3" s="2272"/>
      <c r="AH3" s="2272"/>
      <c r="AI3" s="2272"/>
      <c r="AJ3" s="2272"/>
      <c r="AK3" s="2272"/>
      <c r="AL3" s="2273"/>
      <c r="AM3" s="1260" t="s">
        <v>393</v>
      </c>
      <c r="AO3" s="502"/>
      <c r="AP3" s="502" t="str">
        <f>IF(T3="","",T3)</f>
        <v>Территория действия тарифа</v>
      </c>
      <c r="AQ3" s="502"/>
      <c r="AR3" s="502"/>
      <c r="AS3" s="1157">
        <v>0</v>
      </c>
    </row>
    <row customHeight="1" ht="23.25" hidden="1">
      <c r="A4" s="1365"/>
      <c r="B4" s="1365"/>
      <c r="C4" s="1365"/>
      <c r="D4" s="1365"/>
      <c r="E4" s="2278"/>
      <c r="F4" s="2278"/>
      <c r="G4" s="2277">
        <v>1</v>
      </c>
      <c r="H4" s="1365"/>
      <c r="I4" s="1365"/>
      <c r="J4" s="1365"/>
      <c r="K4" s="1365"/>
      <c r="L4" s="1366"/>
      <c r="M4" s="1367"/>
      <c r="N4" s="1367"/>
      <c r="O4" s="1367"/>
      <c r="P4" s="356"/>
      <c r="Q4" s="354"/>
      <c r="R4" s="355"/>
      <c r="S4" s="1338">
        <f>INDEX(PT_DIFFERENTIATION_NUM_CS,MATCH(C4,PT_DIFFERENTIATION_CS_ID,0))</f>
      </c>
      <c r="T4" s="311" t="s">
        <v>394</v>
      </c>
      <c r="U4" s="302"/>
      <c r="V4" s="2271"/>
      <c r="W4" s="2272"/>
      <c r="X4" s="2272"/>
      <c r="Y4" s="2272"/>
      <c r="Z4" s="2272"/>
      <c r="AA4" s="2272"/>
      <c r="AB4" s="2272"/>
      <c r="AC4" s="2273"/>
      <c r="AD4" s="2271">
        <f>INDEX(PT_DIFFERENTIATION_CS,MATCH(C4,PT_DIFFERENTIATION_CS_ID,0))</f>
      </c>
      <c r="AE4" s="2272"/>
      <c r="AF4" s="2272"/>
      <c r="AG4" s="2272"/>
      <c r="AH4" s="2272"/>
      <c r="AI4" s="2272"/>
      <c r="AJ4" s="2272"/>
      <c r="AK4" s="2272"/>
      <c r="AL4" s="2273"/>
      <c r="AM4" s="1260" t="s">
        <v>395</v>
      </c>
      <c r="AO4" s="502"/>
      <c r="AP4" s="502" t="str">
        <f>IF(T4="","",T4)</f>
        <v>Наименование системы теплоснабжения </v>
      </c>
      <c r="AQ4" s="502"/>
      <c r="AR4" s="502"/>
      <c r="AS4" s="1157">
        <v>0</v>
      </c>
    </row>
    <row customHeight="1" ht="21" hidden="1">
      <c r="A5" s="1365"/>
      <c r="B5" s="1365"/>
      <c r="C5" s="1365"/>
      <c r="D5" s="1365"/>
      <c r="E5" s="2278"/>
      <c r="F5" s="2278"/>
      <c r="G5" s="2278"/>
      <c r="H5" s="2277">
        <v>1</v>
      </c>
      <c r="I5" s="1365"/>
      <c r="J5" s="1365"/>
      <c r="K5" s="1365"/>
      <c r="L5" s="1366"/>
      <c r="M5" s="1367"/>
      <c r="N5" s="1367"/>
      <c r="O5" s="1367"/>
      <c r="P5" s="356"/>
      <c r="Q5" s="354"/>
      <c r="R5" s="355"/>
      <c r="S5" s="1338">
        <f>INDEX(PT_DIFFERENTIATION_NUM_IST_TE,MATCH(D5,PT_DIFFERENTIATION_IST_TE_ID,0))</f>
      </c>
      <c r="T5" s="312" t="s">
        <v>396</v>
      </c>
      <c r="U5" s="302"/>
      <c r="V5" s="2271"/>
      <c r="W5" s="2272"/>
      <c r="X5" s="2272"/>
      <c r="Y5" s="2272"/>
      <c r="Z5" s="2272"/>
      <c r="AA5" s="2272"/>
      <c r="AB5" s="2272"/>
      <c r="AC5" s="2273"/>
      <c r="AD5" s="2271">
        <f>INDEX(PT_DIFFERENTIATION_IST_TE,MATCH(D5,PT_DIFFERENTIATION_IST_TE_ID,0))</f>
      </c>
      <c r="AE5" s="2272"/>
      <c r="AF5" s="2272"/>
      <c r="AG5" s="2272"/>
      <c r="AH5" s="2272"/>
      <c r="AI5" s="2272"/>
      <c r="AJ5" s="2272"/>
      <c r="AK5" s="2272"/>
      <c r="AL5" s="2273"/>
      <c r="AM5" s="1260" t="s">
        <v>397</v>
      </c>
      <c r="AO5" s="502"/>
      <c r="AP5" s="502" t="str">
        <f>IF(T5="","",T5)</f>
        <v>Источник тепловой энергии  </v>
      </c>
      <c r="AQ5" s="502"/>
      <c r="AR5" s="502"/>
      <c r="AS5" s="1157">
        <v>0</v>
      </c>
    </row>
    <row customHeight="1" ht="14.25" hidden="1">
      <c r="A6" s="1365"/>
      <c r="B6" s="1365"/>
      <c r="C6" s="1365"/>
      <c r="D6" s="1365"/>
      <c r="E6" s="2278"/>
      <c r="F6" s="2278"/>
      <c r="G6" s="2278"/>
      <c r="H6" s="2278"/>
      <c r="I6" s="2279">
        <f>S5&amp;".1"</f>
      </c>
      <c r="J6" s="1365"/>
      <c r="K6" s="1365"/>
      <c r="L6" s="1366" t="s">
        <v>398</v>
      </c>
      <c r="M6" s="539"/>
      <c r="P6" s="2281">
        <v>1</v>
      </c>
      <c r="Q6" s="1333"/>
      <c r="R6" s="358"/>
      <c r="S6" s="1044"/>
      <c r="T6" s="1385"/>
      <c r="U6" s="1386"/>
      <c r="V6" s="2319"/>
      <c r="W6" s="2320"/>
      <c r="X6" s="2320"/>
      <c r="Y6" s="2320"/>
      <c r="Z6" s="2320"/>
      <c r="AA6" s="2320"/>
      <c r="AB6" s="2320"/>
      <c r="AC6" s="2321"/>
      <c r="AD6" s="2319"/>
      <c r="AE6" s="2320"/>
      <c r="AF6" s="2320"/>
      <c r="AG6" s="2320"/>
      <c r="AH6" s="2320"/>
      <c r="AI6" s="2320"/>
      <c r="AJ6" s="2320"/>
      <c r="AK6" s="2320"/>
      <c r="AL6" s="2321"/>
      <c r="AM6" s="1387"/>
      <c r="AO6" s="502"/>
      <c r="AP6" s="502" t="str">
        <f>IF(T6="","",T6)</f>
        <v/>
      </c>
      <c r="AQ6" s="502"/>
      <c r="AR6" s="502"/>
      <c r="AS6" s="1157">
        <v>0</v>
      </c>
    </row>
    <row customHeight="1" ht="21" hidden="1">
      <c r="A7" s="1365"/>
      <c r="B7" s="1365"/>
      <c r="C7" s="1365"/>
      <c r="D7" s="1365"/>
      <c r="E7" s="2278"/>
      <c r="F7" s="2278"/>
      <c r="G7" s="2278"/>
      <c r="H7" s="2278"/>
      <c r="I7" s="2280"/>
      <c r="J7" s="2279">
        <f>I6&amp;".1"</f>
      </c>
      <c r="K7" s="1365"/>
      <c r="L7" s="1366" t="s">
        <v>401</v>
      </c>
      <c r="M7" s="539"/>
      <c r="N7" s="1368"/>
      <c r="P7" s="2281"/>
      <c r="Q7" s="2281">
        <v>1</v>
      </c>
      <c r="R7" s="359"/>
      <c r="S7" s="1338">
        <f>$J7</f>
      </c>
      <c r="T7" s="288" t="s">
        <v>402</v>
      </c>
      <c r="U7" s="302"/>
      <c r="V7" s="2265"/>
      <c r="W7" s="2266"/>
      <c r="X7" s="2266"/>
      <c r="Y7" s="2266"/>
      <c r="Z7" s="2266"/>
      <c r="AA7" s="2266"/>
      <c r="AB7" s="2266"/>
      <c r="AC7" s="2267"/>
      <c r="AD7" s="2265"/>
      <c r="AE7" s="2266"/>
      <c r="AF7" s="2266"/>
      <c r="AG7" s="2266"/>
      <c r="AH7" s="2266"/>
      <c r="AI7" s="2266"/>
      <c r="AJ7" s="2266"/>
      <c r="AK7" s="2266"/>
      <c r="AL7" s="2267"/>
      <c r="AM7" s="1260" t="s">
        <v>403</v>
      </c>
      <c r="AO7" s="502"/>
      <c r="AP7" s="502" t="str">
        <f>IF(T7="","",T7)</f>
        <v>Группа потребителей</v>
      </c>
      <c r="AQ7" s="502"/>
      <c r="AR7" s="502"/>
      <c r="AS7" s="1157">
        <v>0</v>
      </c>
    </row>
    <row customHeight="1" ht="21" hidden="1">
      <c r="A8" s="1365"/>
      <c r="B8" s="1365"/>
      <c r="C8" s="1365"/>
      <c r="D8" s="1365"/>
      <c r="E8" s="2278"/>
      <c r="F8" s="2278"/>
      <c r="G8" s="2278"/>
      <c r="H8" s="2278"/>
      <c r="I8" s="2280"/>
      <c r="J8" s="2280"/>
      <c r="K8" s="2279">
        <f>J7&amp;".1"</f>
      </c>
      <c r="L8" s="1366" t="s">
        <v>404</v>
      </c>
      <c r="M8" s="539"/>
      <c r="N8" s="1368"/>
      <c r="O8" s="1368"/>
      <c r="P8" s="2281"/>
      <c r="Q8" s="2281"/>
      <c r="R8" s="359">
        <v>1</v>
      </c>
      <c r="S8" s="1338">
        <f>$K8</f>
      </c>
      <c r="T8" s="1349"/>
      <c r="U8" s="302"/>
      <c r="V8" s="753"/>
      <c r="W8" s="327"/>
      <c r="X8" s="753"/>
      <c r="Y8" s="1259"/>
      <c r="Z8" s="2282"/>
      <c r="AA8" s="2150" t="s">
        <v>65</v>
      </c>
      <c r="AB8" s="2282"/>
      <c r="AC8" s="2150" t="s">
        <v>65</v>
      </c>
      <c r="AD8" s="753"/>
      <c r="AE8" s="327"/>
      <c r="AF8" s="753"/>
      <c r="AG8" s="1259"/>
      <c r="AH8" s="2282"/>
      <c r="AI8" s="2150" t="s">
        <v>65</v>
      </c>
      <c r="AJ8" s="2282"/>
      <c r="AK8" s="2150" t="s">
        <v>65</v>
      </c>
      <c r="AL8" s="327"/>
      <c r="AM8" s="2307" t="s">
        <v>405</v>
      </c>
      <c r="AN8" s="513">
        <f>STRCHECKDATE(V9:AL9)</f>
      </c>
      <c r="AO8" s="502"/>
      <c r="AP8" s="502" t="str">
        <f>IF(T8="","",T8)</f>
        <v/>
      </c>
      <c r="AQ8" s="502"/>
      <c r="AR8" s="502"/>
      <c r="AS8" s="1157">
        <v>0</v>
      </c>
    </row>
    <row customHeight="1" ht="14.25" hidden="1">
      <c r="A9" s="1365"/>
      <c r="B9" s="1365"/>
      <c r="C9" s="1365"/>
      <c r="D9" s="1365"/>
      <c r="E9" s="2278"/>
      <c r="F9" s="2278"/>
      <c r="G9" s="2278"/>
      <c r="H9" s="2278"/>
      <c r="I9" s="2280"/>
      <c r="J9" s="2280"/>
      <c r="K9" s="2279"/>
      <c r="L9" s="1366"/>
      <c r="M9" s="539"/>
      <c r="N9" s="1368"/>
      <c r="O9" s="1368"/>
      <c r="P9" s="2281"/>
      <c r="Q9" s="2281"/>
      <c r="R9" s="359"/>
      <c r="S9" s="1344"/>
      <c r="T9" s="302"/>
      <c r="U9" s="302"/>
      <c r="V9" s="327"/>
      <c r="W9" s="327"/>
      <c r="X9" s="327"/>
      <c r="Y9" s="330" t="str">
        <f>Z8&amp;"-"&amp;AB8</f>
        <v>-</v>
      </c>
      <c r="Z9" s="2283"/>
      <c r="AA9" s="2150"/>
      <c r="AB9" s="2283"/>
      <c r="AC9" s="2150"/>
      <c r="AD9" s="327"/>
      <c r="AE9" s="327"/>
      <c r="AF9" s="327"/>
      <c r="AG9" s="330" t="str">
        <f>AH8&amp;"-"&amp;AJ8</f>
        <v>-</v>
      </c>
      <c r="AH9" s="2283"/>
      <c r="AI9" s="2150"/>
      <c r="AJ9" s="2283"/>
      <c r="AK9" s="2150"/>
      <c r="AL9" s="327"/>
      <c r="AM9" s="2308"/>
      <c r="AO9" s="502"/>
      <c r="AP9" s="502" t="str">
        <f>IF(T9="","",T9)</f>
        <v/>
      </c>
      <c r="AQ9" s="502"/>
      <c r="AR9" s="502"/>
      <c r="AS9" s="1157">
        <v>0</v>
      </c>
    </row>
    <row customHeight="1" ht="15" hidden="1">
      <c r="A10" s="1365"/>
      <c r="B10" s="1365"/>
      <c r="C10" s="1365"/>
      <c r="D10" s="1365"/>
      <c r="E10" s="2278"/>
      <c r="F10" s="2278"/>
      <c r="G10" s="2278"/>
      <c r="H10" s="2278"/>
      <c r="I10" s="2280"/>
      <c r="J10" s="2279"/>
      <c r="K10" s="1365"/>
      <c r="L10" s="1366"/>
      <c r="M10" s="539"/>
      <c r="N10" s="1368"/>
      <c r="P10" s="2281"/>
      <c r="Q10" s="2281"/>
      <c r="R10" s="358"/>
      <c r="S10" s="1280"/>
      <c r="T10" s="289" t="s">
        <v>406</v>
      </c>
      <c r="U10" s="369"/>
      <c r="V10" s="369"/>
      <c r="W10" s="369"/>
      <c r="X10" s="369"/>
      <c r="Y10" s="369"/>
      <c r="Z10" s="369"/>
      <c r="AA10" s="369"/>
      <c r="AB10" s="369"/>
      <c r="AC10" s="369"/>
      <c r="AD10" s="369"/>
      <c r="AE10" s="369"/>
      <c r="AF10" s="369"/>
      <c r="AG10" s="369"/>
      <c r="AH10" s="369"/>
      <c r="AI10" s="369"/>
      <c r="AJ10" s="369"/>
      <c r="AK10" s="369"/>
      <c r="AL10" s="326"/>
      <c r="AM10" s="2309"/>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78"/>
      <c r="F11" s="2278"/>
      <c r="G11" s="2278"/>
      <c r="H11" s="2278"/>
      <c r="I11" s="2279"/>
      <c r="J11" s="1365"/>
      <c r="K11" s="1365"/>
      <c r="L11" s="1366"/>
      <c r="M11" s="539"/>
      <c r="P11" s="2281"/>
      <c r="Q11" s="1333"/>
      <c r="R11" s="358"/>
      <c r="S11" s="1280"/>
      <c r="T11" s="367" t="s">
        <v>407</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78"/>
      <c r="F12" s="2278"/>
      <c r="G12" s="2278"/>
      <c r="H12" s="2277"/>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78"/>
      <c r="F13" s="2278"/>
      <c r="G13" s="2277"/>
      <c r="H13" s="1316"/>
      <c r="I13" s="1316"/>
      <c r="J13" s="1316"/>
      <c r="K13" s="1316"/>
      <c r="L13" s="1341"/>
      <c r="M13" s="1317"/>
      <c r="N13" s="1317"/>
      <c r="P13" s="1318"/>
      <c r="Q13" s="1319"/>
      <c r="R13" s="1318"/>
      <c r="S13" s="1320"/>
      <c r="T13" s="1321" t="s">
        <v>409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78"/>
      <c r="F14" s="2277"/>
      <c r="G14" s="1316"/>
      <c r="H14" s="1316"/>
      <c r="I14" s="1316"/>
      <c r="J14" s="1316"/>
      <c r="K14" s="1316"/>
      <c r="L14" s="1341"/>
      <c r="M14" s="1323"/>
      <c r="N14" s="1323"/>
      <c r="P14" s="1318"/>
      <c r="Q14" s="1319"/>
      <c r="R14" s="1318"/>
      <c r="S14" s="1324"/>
      <c r="T14" s="1325" t="s">
        <v>410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77"/>
      <c r="F15" s="1316"/>
      <c r="G15" s="1316"/>
      <c r="H15" s="1316"/>
      <c r="I15" s="1316"/>
      <c r="J15" s="1316"/>
      <c r="K15" s="1316"/>
      <c r="L15" s="1341"/>
      <c r="M15" s="1323"/>
      <c r="N15" s="1323"/>
      <c r="P15" s="1318"/>
      <c r="Q15" s="1319"/>
      <c r="R15" s="1318"/>
      <c r="S15" s="1324"/>
      <c r="T15" s="1327" t="s">
        <v>411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75"/>
      <c r="AI17" s="2274" t="s">
        <v>65</v>
      </c>
      <c r="AJ17" s="2275"/>
      <c r="AK17" s="2274" t="s">
        <v>65</v>
      </c>
      <c r="AS17" s="1157">
        <v>0</v>
      </c>
    </row>
    <row customHeight="1" ht="14.25" hidden="1">
      <c r="AD18" s="1362"/>
      <c r="AE18" s="1362"/>
      <c r="AF18" s="1362"/>
      <c r="AG18" s="330" t="str">
        <f>AH17&amp;"-"&amp;AJ17</f>
        <v>-</v>
      </c>
      <c r="AH18" s="2274"/>
      <c r="AI18" s="2274"/>
      <c r="AJ18" s="2274"/>
      <c r="AK18" s="2274"/>
      <c r="AS18" s="1157">
        <v>0</v>
      </c>
    </row>
    <row customHeight="1" ht="14.25" hidden="1">
      <c r="AK19" s="329"/>
      <c r="AS19" s="1157">
        <v>0</v>
      </c>
    </row>
    <row s="1368" customFormat="1" customHeight="1" ht="22.5" hidden="1">
      <c r="L20" s="1331"/>
      <c r="M20" s="1364"/>
      <c r="N20" s="1364"/>
      <c r="O20" s="1369" t="s">
        <v>412</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413</v>
      </c>
      <c r="P22" s="1364"/>
      <c r="Q22" s="1373"/>
      <c r="R22" s="1373"/>
      <c r="S22" s="731"/>
      <c r="T22" s="1162" t="s">
        <v>414</v>
      </c>
      <c r="AA22" s="188" t="s">
        <v>415</v>
      </c>
      <c r="AC22" s="188" t="s">
        <v>416</v>
      </c>
      <c r="AD22" s="1162" t="s">
        <v>414</v>
      </c>
      <c r="AI22" s="188" t="s">
        <v>417</v>
      </c>
      <c r="AK22" s="188" t="s">
        <v>416</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5"/>
      <c r="AS26" s="1157">
        <v>51</v>
      </c>
    </row>
    <row customHeight="1" ht="14.699999999999998">
      <c r="Q27" s="378"/>
      <c r="R27" s="378"/>
      <c r="S27" s="2311" t="str">
        <f>IF(org=0,"Не определено",org)</f>
        <v>Муниципальное унитарное предприятие "Невельские коммунальные сети"</v>
      </c>
      <c r="T27" s="2311"/>
      <c r="U27" s="2311"/>
      <c r="V27" s="2311"/>
      <c r="W27" s="2311"/>
      <c r="X27" s="2311"/>
      <c r="Y27" s="2311"/>
      <c r="Z27" s="2311"/>
      <c r="AA27" s="2311"/>
      <c r="AB27" s="2311"/>
      <c r="AC27" s="2311"/>
      <c r="AD27" s="2311"/>
      <c r="AE27" s="2311"/>
      <c r="AF27" s="2311"/>
      <c r="AG27" s="2311"/>
      <c r="AH27" s="2311"/>
      <c r="AI27" s="2311"/>
      <c r="AJ27" s="231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2" customFormat="1" customHeight="1" ht="25.5" hidden="1">
      <c r="A29" s="1370"/>
      <c r="B29" s="1370"/>
      <c r="C29" s="1370"/>
      <c r="D29" s="1370"/>
      <c r="E29" s="1370"/>
      <c r="F29" s="1370"/>
      <c r="G29" s="1370"/>
      <c r="H29" s="1370"/>
      <c r="I29" s="1370"/>
      <c r="J29" s="1370"/>
      <c r="K29" s="1370"/>
      <c r="L29" s="1371"/>
      <c r="M29" s="1370"/>
      <c r="N29" s="1370"/>
      <c r="O29" s="1370"/>
      <c r="S29"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68"/>
      <c r="U29" s="1374"/>
      <c r="V29" s="2270" t="str">
        <f>IF(TITLE_NAME_OR_PR_CHANGE="",IF(TITLE_NAME_OR_PR="","",TITLE_NAME_OR_PR),TITLE_NAME_OR_PR_CHANGE)</f>
        <v/>
      </c>
      <c r="W29" s="2270"/>
      <c r="X29" s="2270"/>
      <c r="Y29" s="2270"/>
      <c r="Z29" s="2270"/>
      <c r="AA29" s="2270"/>
      <c r="AB29" s="2270"/>
      <c r="AC29" s="328"/>
      <c r="AD29" s="2270" t="str">
        <f>IF(TITLE_NAME_OR_PR_CHANGE="",IF(TITLE_NAME_OR_PR="","",TITLE_NAME_OR_PR),TITLE_NAME_OR_PR_CHANGE)</f>
        <v/>
      </c>
      <c r="AE29" s="2270"/>
      <c r="AF29" s="2270"/>
      <c r="AG29" s="2270"/>
      <c r="AH29" s="2270"/>
      <c r="AI29" s="2270"/>
      <c r="AJ29" s="2270"/>
      <c r="AK29" s="328"/>
      <c r="AL29" s="328"/>
      <c r="AM29" s="282"/>
      <c r="AN29" s="370"/>
      <c r="AO29" s="370"/>
      <c r="AP29" s="370"/>
      <c r="AQ29" s="370"/>
      <c r="AR29" s="370"/>
      <c r="AS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tr">
        <f>"Дата документа об "&amp;IF(TITLE_DATE_PR_CHANGE="","утверждении","изменении")&amp;" тарифов"</f>
        <v>Дата документа об утверждении тарифов</v>
      </c>
      <c r="T30" s="2268"/>
      <c r="U30" s="1374"/>
      <c r="V30" s="2269" t="str">
        <f>IF(TITLE_DATE_PR_CHANGE="",IF(TITLE_DATE_PR="","",TITLE_DATE_PR),TITLE_DATE_PR_CHANGE)</f>
        <v/>
      </c>
      <c r="W30" s="2269"/>
      <c r="X30" s="2269"/>
      <c r="Y30" s="2269"/>
      <c r="Z30" s="2269"/>
      <c r="AA30" s="2269"/>
      <c r="AB30" s="2269"/>
      <c r="AC30" s="328"/>
      <c r="AD30" s="2269" t="str">
        <f>IF(TITLE_DATE_PR_CHANGE="",IF(TITLE_DATE_PR="","",TITLE_DATE_PR),TITLE_DATE_PR_CHANGE)</f>
        <v/>
      </c>
      <c r="AE30" s="2269"/>
      <c r="AF30" s="2269"/>
      <c r="AG30" s="2269"/>
      <c r="AH30" s="2269"/>
      <c r="AI30" s="2269"/>
      <c r="AJ30" s="2269"/>
      <c r="AK30" s="328"/>
      <c r="AL30" s="328"/>
      <c r="AM30" s="282"/>
      <c r="AN30" s="370"/>
      <c r="AO30" s="370"/>
      <c r="AP30" s="370"/>
      <c r="AQ30" s="370"/>
      <c r="AR30" s="370"/>
      <c r="AS30" s="420">
        <v>0</v>
      </c>
    </row>
    <row s="1852" customFormat="1" customHeight="1" ht="18.75" hidden="1">
      <c r="A31" s="1370"/>
      <c r="B31" s="1370"/>
      <c r="C31" s="1370"/>
      <c r="D31" s="1370"/>
      <c r="E31" s="1370"/>
      <c r="F31" s="1370"/>
      <c r="G31" s="1370"/>
      <c r="H31" s="1370"/>
      <c r="I31" s="1370"/>
      <c r="J31" s="1370"/>
      <c r="K31" s="1370"/>
      <c r="L31" s="1371"/>
      <c r="M31" s="1370"/>
      <c r="N31" s="1370"/>
      <c r="O31" s="1370"/>
      <c r="S31" s="2268" t="str">
        <f>"Номер документа об "&amp;IF(TITLE_DATE_PR_CHANGE="","утверждении","изменении")&amp;" тарифов"</f>
        <v>Номер документа об утверждении тарифов</v>
      </c>
      <c r="T31" s="2268"/>
      <c r="U31" s="1374"/>
      <c r="V31" s="2270" t="str">
        <f>IF(TITLE_NUMBER_PR_CHANGE="",IF(TITLE_NUMBER_PR="","",TITLE_NUMBER_PR),TITLE_NUMBER_PR_CHANGE)</f>
        <v/>
      </c>
      <c r="W31" s="2270"/>
      <c r="X31" s="2270"/>
      <c r="Y31" s="2270"/>
      <c r="Z31" s="2270"/>
      <c r="AA31" s="2270"/>
      <c r="AB31" s="2270"/>
      <c r="AC31" s="328"/>
      <c r="AD31" s="2270" t="str">
        <f>IF(TITLE_NUMBER_PR_CHANGE="",IF(TITLE_NUMBER_PR="","",TITLE_NUMBER_PR),TITLE_NUMBER_PR_CHANGE)</f>
        <v/>
      </c>
      <c r="AE31" s="2270"/>
      <c r="AF31" s="2270"/>
      <c r="AG31" s="2270"/>
      <c r="AH31" s="2270"/>
      <c r="AI31" s="2270"/>
      <c r="AJ31" s="2270"/>
      <c r="AK31" s="328"/>
      <c r="AL31" s="328"/>
      <c r="AM31" s="282"/>
      <c r="AN31" s="370"/>
      <c r="AO31" s="370"/>
      <c r="AP31" s="370"/>
      <c r="AQ31" s="370"/>
      <c r="AR31" s="370"/>
      <c r="AS31" s="420">
        <v>0</v>
      </c>
    </row>
    <row s="1852" customFormat="1" customHeight="1" ht="18.75" hidden="1">
      <c r="A32" s="1370"/>
      <c r="B32" s="1370"/>
      <c r="C32" s="1370"/>
      <c r="D32" s="1370"/>
      <c r="E32" s="1370"/>
      <c r="F32" s="1370"/>
      <c r="G32" s="1370"/>
      <c r="H32" s="1370"/>
      <c r="I32" s="1370"/>
      <c r="J32" s="1370"/>
      <c r="K32" s="1370"/>
      <c r="L32" s="1371"/>
      <c r="M32" s="1370"/>
      <c r="N32" s="1370"/>
      <c r="O32" s="1370"/>
      <c r="S32" s="2268" t="s">
        <v>43</v>
      </c>
      <c r="T32" s="2268"/>
      <c r="U32" s="1374"/>
      <c r="V32" s="2270" t="str">
        <f>IF(TITLE_IST_PUB_CHANGE="",IF(TITLE_IST_PUB="","",TITLE_IST_PUB),TITLE_IST_PUB_CHANGE)</f>
        <v/>
      </c>
      <c r="W32" s="2270"/>
      <c r="X32" s="2270"/>
      <c r="Y32" s="2270"/>
      <c r="Z32" s="2270"/>
      <c r="AA32" s="2270"/>
      <c r="AB32" s="2270"/>
      <c r="AC32" s="328"/>
      <c r="AD32" s="2270" t="str">
        <f>IF(TITLE_IST_PUB_CHANGE="",IF(TITLE_IST_PUB="","",TITLE_IST_PUB),TITLE_IST_PUB_CHANGE)</f>
        <v/>
      </c>
      <c r="AE32" s="2270"/>
      <c r="AF32" s="2270"/>
      <c r="AG32" s="2270"/>
      <c r="AH32" s="2270"/>
      <c r="AI32" s="2270"/>
      <c r="AJ32" s="2270"/>
      <c r="AK32" s="328"/>
      <c r="AL32" s="328"/>
      <c r="AM32" s="282"/>
      <c r="AN32" s="370"/>
      <c r="AO32" s="370"/>
      <c r="AP32" s="370"/>
      <c r="AQ32" s="370"/>
      <c r="AR32" s="370"/>
      <c r="AS32" s="420">
        <v>0</v>
      </c>
    </row>
    <row customHeight="1" ht="14.25" hidden="1">
      <c r="Q33" s="378"/>
      <c r="R33" s="378"/>
      <c r="S33" s="1277"/>
      <c r="T33" s="459"/>
      <c r="U33" s="365"/>
      <c r="V33" s="324"/>
      <c r="W33" s="324"/>
      <c r="X33" s="324"/>
      <c r="Y33" s="324"/>
      <c r="Z33" s="324"/>
      <c r="AA33" s="324"/>
      <c r="AB33" s="324"/>
      <c r="AC33" s="324"/>
      <c r="AD33" s="324"/>
      <c r="AE33" s="324"/>
      <c r="AF33" s="324"/>
      <c r="AG33" s="324"/>
      <c r="AH33" s="324"/>
      <c r="AI33" s="324"/>
      <c r="AJ33" s="324"/>
      <c r="AK33" s="324"/>
      <c r="AL33" s="511"/>
      <c r="AS33" s="1157">
        <v>0</v>
      </c>
    </row>
    <row s="1852" customFormat="1" customHeight="1" ht="18.75" hidden="1">
      <c r="A34" s="1370"/>
      <c r="B34" s="1370"/>
      <c r="C34" s="1370"/>
      <c r="D34" s="1370"/>
      <c r="E34" s="1370"/>
      <c r="F34" s="1370"/>
      <c r="G34" s="1370"/>
      <c r="H34" s="1370"/>
      <c r="I34" s="1370"/>
      <c r="J34" s="1370"/>
      <c r="K34" s="1370"/>
      <c r="L34" s="1371"/>
      <c r="M34" s="1370"/>
      <c r="N34" s="1370"/>
      <c r="O34" s="1370"/>
      <c r="S34" s="2268" t="str">
        <f>"Дата подачи заявления об "&amp;IF(TITLE_DATE_PR_CHANGE="","утверждении","изменении")&amp;" тарифов"</f>
        <v>Дата подачи заявления об утверждении тарифов</v>
      </c>
      <c r="T34" s="2268"/>
      <c r="U34" s="1374"/>
      <c r="V34" s="2269" t="str">
        <f>IF(TITLE_DATE_PR_CHANGE="",IF(TITLE_DATE_PR="","",TITLE_DATE_PR),TITLE_DATE_PR_CHANGE)</f>
        <v/>
      </c>
      <c r="W34" s="2269"/>
      <c r="X34" s="2269"/>
      <c r="Y34" s="2269"/>
      <c r="Z34" s="2269"/>
      <c r="AA34" s="2269"/>
      <c r="AB34" s="2269"/>
      <c r="AC34" s="328"/>
      <c r="AD34" s="2269" t="str">
        <f>IF(TITLE_DATE_PR_CHANGE="",IF(TITLE_DATE_PR="","",TITLE_DATE_PR),TITLE_DATE_PR_CHANGE)</f>
        <v/>
      </c>
      <c r="AE34" s="2269"/>
      <c r="AF34" s="2269"/>
      <c r="AG34" s="2269"/>
      <c r="AH34" s="2269"/>
      <c r="AI34" s="2269"/>
      <c r="AJ34" s="2269"/>
      <c r="AK34" s="328"/>
      <c r="AL34" s="328"/>
      <c r="AM34" s="282"/>
      <c r="AN34" s="370"/>
      <c r="AO34" s="370"/>
      <c r="AP34" s="370"/>
      <c r="AQ34" s="370"/>
      <c r="AR34" s="370"/>
      <c r="AS34" s="420">
        <v>0</v>
      </c>
    </row>
    <row s="1852" customFormat="1" customHeight="1" ht="25.5" hidden="1">
      <c r="A35" s="1370"/>
      <c r="B35" s="1370"/>
      <c r="C35" s="1370"/>
      <c r="D35" s="1370"/>
      <c r="E35" s="1370"/>
      <c r="F35" s="1370"/>
      <c r="G35" s="1370"/>
      <c r="H35" s="1370"/>
      <c r="I35" s="1370"/>
      <c r="J35" s="1370"/>
      <c r="K35" s="1370"/>
      <c r="L35" s="1371"/>
      <c r="M35" s="1370"/>
      <c r="N35" s="1370"/>
      <c r="O35" s="1370"/>
      <c r="S35" s="2268" t="str">
        <f>"Номер подачи заявления об "&amp;IF(TITLE_DATE_PR_CHANGE="","утверждении","изменении")&amp;" тарифов"</f>
        <v>Номер подачи заявления об утверждении тарифов</v>
      </c>
      <c r="T35" s="2268"/>
      <c r="U35" s="1374"/>
      <c r="V35" s="2270" t="str">
        <f>IF(TITLE_NUMBER_PR_CHANGE="",IF(TITLE_NUMBER_PR="","",TITLE_NUMBER_PR),TITLE_NUMBER_PR_CHANGE)</f>
        <v/>
      </c>
      <c r="W35" s="2270"/>
      <c r="X35" s="2270"/>
      <c r="Y35" s="2270"/>
      <c r="Z35" s="2270"/>
      <c r="AA35" s="2270"/>
      <c r="AB35" s="2270"/>
      <c r="AC35" s="328"/>
      <c r="AD35" s="2270" t="str">
        <f>IF(TITLE_NUMBER_PR_CHANGE="",IF(TITLE_NUMBER_PR="","",TITLE_NUMBER_PR),TITLE_NUMBER_PR_CHANGE)</f>
        <v/>
      </c>
      <c r="AE35" s="2270"/>
      <c r="AF35" s="2270"/>
      <c r="AG35" s="2270"/>
      <c r="AH35" s="2270"/>
      <c r="AI35" s="2270"/>
      <c r="AJ35" s="2270"/>
      <c r="AK35" s="328"/>
      <c r="AL35" s="328"/>
      <c r="AM35" s="282"/>
      <c r="AN35" s="370"/>
      <c r="AO35" s="370"/>
      <c r="AP35" s="370"/>
      <c r="AQ35" s="370"/>
      <c r="AR35" s="370"/>
      <c r="AS35" s="420">
        <v>0</v>
      </c>
    </row>
    <row s="1852"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418</v>
      </c>
      <c r="AD36" s="328"/>
      <c r="AE36" s="328"/>
      <c r="AF36" s="328"/>
      <c r="AG36" s="328"/>
      <c r="AH36" s="328"/>
      <c r="AI36" s="328"/>
      <c r="AJ36" s="328"/>
      <c r="AK36" s="280" t="s">
        <v>418</v>
      </c>
      <c r="AN36" s="370"/>
      <c r="AO36" s="370"/>
      <c r="AP36" s="370"/>
      <c r="AQ36" s="370"/>
      <c r="AR36" s="370"/>
      <c r="AS36" s="420">
        <v>0</v>
      </c>
    </row>
    <row customHeight="1" ht="14.699999999999998">
      <c r="Q37" s="378"/>
      <c r="R37" s="378"/>
      <c r="S37" s="1277"/>
      <c r="T37" s="365"/>
      <c r="U37" s="1246"/>
      <c r="V37" s="2294"/>
      <c r="W37" s="2294"/>
      <c r="X37" s="2294"/>
      <c r="Y37" s="2294"/>
      <c r="Z37" s="2294"/>
      <c r="AA37" s="2294"/>
      <c r="AB37" s="2294"/>
      <c r="AC37" s="2294"/>
      <c r="AD37" s="2294"/>
      <c r="AE37" s="2294"/>
      <c r="AF37" s="2294"/>
      <c r="AG37" s="2294"/>
      <c r="AH37" s="2294"/>
      <c r="AI37" s="2294"/>
      <c r="AJ37" s="2294"/>
      <c r="AK37" s="2294"/>
      <c r="AS37" s="1157">
        <v>14</v>
      </c>
    </row>
    <row customHeight="1" ht="14.699999999999998">
      <c r="Q38" s="378"/>
      <c r="R38" s="378"/>
      <c r="S38" s="2140" t="s">
        <v>295</v>
      </c>
      <c r="T38" s="2140"/>
      <c r="U38" s="2140"/>
      <c r="V38" s="2140"/>
      <c r="W38" s="2140"/>
      <c r="X38" s="2140"/>
      <c r="Y38" s="2140"/>
      <c r="Z38" s="2140"/>
      <c r="AA38" s="2140"/>
      <c r="AB38" s="2140"/>
      <c r="AC38" s="2140"/>
      <c r="AD38" s="2140"/>
      <c r="AE38" s="2140"/>
      <c r="AF38" s="2140"/>
      <c r="AG38" s="2140"/>
      <c r="AH38" s="2140"/>
      <c r="AI38" s="2140"/>
      <c r="AJ38" s="2140"/>
      <c r="AK38" s="2140"/>
      <c r="AL38" s="2140"/>
      <c r="AM38" s="2140" t="s">
        <v>296</v>
      </c>
      <c r="AS38" s="1157">
        <v>14</v>
      </c>
    </row>
    <row customHeight="1" ht="14.699999999999998">
      <c r="Q39" s="378"/>
      <c r="R39" s="378"/>
      <c r="S39" s="2295" t="s">
        <v>88</v>
      </c>
      <c r="T39" s="2232" t="s">
        <v>419</v>
      </c>
      <c r="U39" s="303"/>
      <c r="V39" s="2296" t="s">
        <v>420</v>
      </c>
      <c r="W39" s="2297"/>
      <c r="X39" s="2297"/>
      <c r="Y39" s="2297"/>
      <c r="Z39" s="2297"/>
      <c r="AA39" s="2297"/>
      <c r="AB39" s="2298"/>
      <c r="AC39" s="2299" t="s">
        <v>421</v>
      </c>
      <c r="AD39" s="2296" t="s">
        <v>420</v>
      </c>
      <c r="AE39" s="2297"/>
      <c r="AF39" s="2297"/>
      <c r="AG39" s="2297"/>
      <c r="AH39" s="2297"/>
      <c r="AI39" s="2297"/>
      <c r="AJ39" s="2298"/>
      <c r="AK39" s="2299" t="s">
        <v>422</v>
      </c>
      <c r="AL39" s="2302" t="s">
        <v>423</v>
      </c>
      <c r="AM39" s="2140"/>
      <c r="AS39" s="1157">
        <v>14</v>
      </c>
    </row>
    <row customHeight="1" ht="35.699999999999996">
      <c r="Q40" s="378"/>
      <c r="R40" s="378"/>
      <c r="S40" s="2295"/>
      <c r="T40" s="2232"/>
      <c r="U40" s="1033"/>
      <c r="V40" s="2305" t="s">
        <v>424</v>
      </c>
      <c r="W40" s="2286"/>
      <c r="X40" s="2288" t="s">
        <v>426</v>
      </c>
      <c r="Y40" s="2290"/>
      <c r="Z40" s="2288" t="s">
        <v>427</v>
      </c>
      <c r="AA40" s="2289"/>
      <c r="AB40" s="2290"/>
      <c r="AC40" s="2300"/>
      <c r="AD40" s="2305" t="s">
        <v>441</v>
      </c>
      <c r="AE40" s="2286"/>
      <c r="AF40" s="2288" t="s">
        <v>426</v>
      </c>
      <c r="AG40" s="2290"/>
      <c r="AH40" s="2288" t="s">
        <v>427</v>
      </c>
      <c r="AI40" s="2289"/>
      <c r="AJ40" s="2290"/>
      <c r="AK40" s="2300"/>
      <c r="AL40" s="2303"/>
      <c r="AM40" s="2140"/>
      <c r="AS40" s="1157">
        <v>34</v>
      </c>
    </row>
    <row customHeight="1" ht="35.699999999999996">
      <c r="A41" s="1372"/>
      <c r="B41" s="1372" t="s">
        <v>132</v>
      </c>
      <c r="C41" s="1372" t="s">
        <v>133</v>
      </c>
      <c r="D41" s="1372" t="s">
        <v>134</v>
      </c>
      <c r="E41" s="1366" t="s">
        <v>428</v>
      </c>
      <c r="F41" s="1366" t="s">
        <v>429</v>
      </c>
      <c r="G41" s="1366" t="s">
        <v>430</v>
      </c>
      <c r="H41" s="1366" t="s">
        <v>431</v>
      </c>
      <c r="I41" s="1366" t="s">
        <v>432</v>
      </c>
      <c r="J41" s="1366" t="s">
        <v>433</v>
      </c>
      <c r="K41" s="1366" t="s">
        <v>434</v>
      </c>
      <c r="L41" s="1366" t="s">
        <v>413</v>
      </c>
      <c r="Q41" s="378"/>
      <c r="R41" s="378"/>
      <c r="S41" s="2295"/>
      <c r="T41" s="2232"/>
      <c r="U41" s="304"/>
      <c r="V41" s="2306"/>
      <c r="W41" s="2287"/>
      <c r="X41" s="1224" t="s">
        <v>435</v>
      </c>
      <c r="Y41" s="1224" t="s">
        <v>436</v>
      </c>
      <c r="Z41" s="1340" t="s">
        <v>437</v>
      </c>
      <c r="AA41" s="2291" t="s">
        <v>438</v>
      </c>
      <c r="AB41" s="2292"/>
      <c r="AC41" s="2301"/>
      <c r="AD41" s="2306"/>
      <c r="AE41" s="2287"/>
      <c r="AF41" s="1224" t="s">
        <v>435</v>
      </c>
      <c r="AG41" s="1224" t="s">
        <v>436</v>
      </c>
      <c r="AH41" s="1340" t="s">
        <v>437</v>
      </c>
      <c r="AI41" s="2291" t="s">
        <v>438</v>
      </c>
      <c r="AJ41" s="2292"/>
      <c r="AK41" s="2301"/>
      <c r="AL41" s="2304"/>
      <c r="AM41" s="2140"/>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106</v>
      </c>
      <c r="T42" s="1257" t="s">
        <v>107</v>
      </c>
      <c r="U42" s="1247" t="str">
        <f>OFFSET(U42,0,-1)</f>
        <v>2</v>
      </c>
      <c r="V42" s="1337">
        <f>OFFSET(V42,0,-1)+1</f>
        <v>3</v>
      </c>
      <c r="W42" s="1337"/>
      <c r="X42" s="1337">
        <f>OFFSET(X42,0,-1)+1</f>
        <v>1</v>
      </c>
      <c r="Y42" s="1337">
        <f>OFFSET(Y42,0,-1)+1</f>
        <v>2</v>
      </c>
      <c r="Z42" s="1337">
        <f>OFFSET(Z42,0,-1)+1</f>
        <v>3</v>
      </c>
      <c r="AA42" s="2293">
        <f>OFFSET(AA42,0,-1)+1</f>
        <v>4</v>
      </c>
      <c r="AB42" s="2293"/>
      <c r="AC42" s="1337">
        <f>OFFSET(AC42,0,-2)+1</f>
        <v>5</v>
      </c>
      <c r="AD42" s="1337">
        <f>OFFSET(AD42,0,-1)+1</f>
        <v>6</v>
      </c>
      <c r="AE42" s="1337"/>
      <c r="AF42" s="1337">
        <f>OFFSET(AF42,0,-1)+1</f>
        <v>1</v>
      </c>
      <c r="AG42" s="1337">
        <f>OFFSET(AG42,0,-1)+1</f>
        <v>2</v>
      </c>
      <c r="AH42" s="1337">
        <f>OFFSET(AH42,0,-1)+1</f>
        <v>3</v>
      </c>
      <c r="AI42" s="2293">
        <f>OFFSET(AI42,0,-1)+1</f>
        <v>4</v>
      </c>
      <c r="AJ42" s="2293"/>
      <c r="AK42" s="1337">
        <f>OFFSET(AK42,0,-2)+1</f>
        <v>5</v>
      </c>
      <c r="AL42" s="1247">
        <f>OFFSET(AL42,0,-1)</f>
        <v>5</v>
      </c>
      <c r="AM42" s="1337">
        <f>OFFSET(AM42,0,-1)+1</f>
        <v>6</v>
      </c>
      <c r="AN42" s="513"/>
      <c r="AO42" s="513"/>
      <c r="AP42" s="513"/>
      <c r="AQ42" s="513"/>
      <c r="AR42" s="513"/>
      <c r="AS42" s="498">
        <v>0</v>
      </c>
    </row>
    <row customHeight="1" ht="22.049999999999997">
      <c r="A43" s="1365" t="s">
        <v>183</v>
      </c>
      <c r="B43" s="1365"/>
      <c r="C43" s="1365"/>
      <c r="D43" s="1365"/>
      <c r="E43" s="2277">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120</v>
      </c>
      <c r="U43" s="302"/>
      <c r="V43" s="2271"/>
      <c r="W43" s="2272"/>
      <c r="X43" s="2272"/>
      <c r="Y43" s="2272"/>
      <c r="Z43" s="2272"/>
      <c r="AA43" s="2272"/>
      <c r="AB43" s="2272"/>
      <c r="AC43" s="2273"/>
      <c r="AD43" s="2271" t="str">
        <f>INDEX(PT_DIFFERENTIATION_NTAR,MATCH(A43,PT_DIFFERENTIATION_NTAR_ID,0))</f>
        <v/>
      </c>
      <c r="AE43" s="2272"/>
      <c r="AF43" s="2272"/>
      <c r="AG43" s="2272"/>
      <c r="AH43" s="2272"/>
      <c r="AI43" s="2272"/>
      <c r="AJ43" s="2272"/>
      <c r="AK43" s="2272"/>
      <c r="AL43" s="2273"/>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183</v>
      </c>
      <c r="B44" s="1365" t="s">
        <v>184</v>
      </c>
      <c r="C44" s="1365"/>
      <c r="D44" s="1365"/>
      <c r="E44" s="2278"/>
      <c r="F44" s="2277">
        <v>1</v>
      </c>
      <c r="G44" s="1365"/>
      <c r="H44" s="1365"/>
      <c r="I44" s="1365"/>
      <c r="J44" s="1365"/>
      <c r="K44" s="1365"/>
      <c r="L44" s="1366"/>
      <c r="M44" s="1367"/>
      <c r="N44" s="1367"/>
      <c r="O44" s="1367"/>
      <c r="P44" s="1334"/>
      <c r="Q44" s="354"/>
      <c r="R44" s="355"/>
      <c r="S44" s="1338" t="str">
        <f>INDEX(PT_DIFFERENTIATION_NUM_TER,MATCH(B44,PT_DIFFERENTIATION_TER_ID,0))</f>
        <v>.</v>
      </c>
      <c r="T44" s="310" t="s">
        <v>392</v>
      </c>
      <c r="U44" s="302"/>
      <c r="V44" s="2271"/>
      <c r="W44" s="2272"/>
      <c r="X44" s="2272"/>
      <c r="Y44" s="2272"/>
      <c r="Z44" s="2272"/>
      <c r="AA44" s="2272"/>
      <c r="AB44" s="2272"/>
      <c r="AC44" s="2273"/>
      <c r="AD44" s="2271" t="str">
        <f>INDEX(PT_DIFFERENTIATION_TER,MATCH(B44,PT_DIFFERENTIATION_TER_ID,0))</f>
        <v/>
      </c>
      <c r="AE44" s="2272"/>
      <c r="AF44" s="2272"/>
      <c r="AG44" s="2272"/>
      <c r="AH44" s="2272"/>
      <c r="AI44" s="2272"/>
      <c r="AJ44" s="2272"/>
      <c r="AK44" s="2272"/>
      <c r="AL44" s="2273"/>
      <c r="AM44" s="1260" t="s">
        <v>393</v>
      </c>
      <c r="AO44" s="502"/>
      <c r="AP44" s="502" t="str">
        <f>IF(T44="","",T44)</f>
        <v>Территория действия тарифа</v>
      </c>
      <c r="AQ44" s="502"/>
      <c r="AR44" s="502"/>
      <c r="AS44" s="1157">
        <v>21</v>
      </c>
    </row>
    <row customHeight="1" ht="24">
      <c r="A45" s="1365" t="s">
        <v>183</v>
      </c>
      <c r="B45" s="1365" t="s">
        <v>184</v>
      </c>
      <c r="C45" s="1365" t="s">
        <v>185</v>
      </c>
      <c r="D45" s="1365"/>
      <c r="E45" s="2278"/>
      <c r="F45" s="2278"/>
      <c r="G45" s="2277">
        <v>1</v>
      </c>
      <c r="H45" s="1365"/>
      <c r="I45" s="1365"/>
      <c r="J45" s="1365"/>
      <c r="K45" s="1365"/>
      <c r="L45" s="1366"/>
      <c r="M45" s="1367"/>
      <c r="N45" s="1367"/>
      <c r="O45" s="1367"/>
      <c r="P45" s="356"/>
      <c r="Q45" s="354"/>
      <c r="R45" s="355"/>
      <c r="S45" s="1338" t="str">
        <f>INDEX(PT_DIFFERENTIATION_NUM_CS,MATCH(C45,PT_DIFFERENTIATION_CS_ID,0))</f>
        <v>..</v>
      </c>
      <c r="T45" s="311" t="s">
        <v>394</v>
      </c>
      <c r="U45" s="302"/>
      <c r="V45" s="2271"/>
      <c r="W45" s="2272"/>
      <c r="X45" s="2272"/>
      <c r="Y45" s="2272"/>
      <c r="Z45" s="2272"/>
      <c r="AA45" s="2272"/>
      <c r="AB45" s="2272"/>
      <c r="AC45" s="2273"/>
      <c r="AD45" s="2271" t="str">
        <f>INDEX(PT_DIFFERENTIATION_CS,MATCH(C45,PT_DIFFERENTIATION_CS_ID,0))</f>
        <v/>
      </c>
      <c r="AE45" s="2272"/>
      <c r="AF45" s="2272"/>
      <c r="AG45" s="2272"/>
      <c r="AH45" s="2272"/>
      <c r="AI45" s="2272"/>
      <c r="AJ45" s="2272"/>
      <c r="AK45" s="2272"/>
      <c r="AL45" s="2273"/>
      <c r="AM45" s="1260" t="s">
        <v>395</v>
      </c>
      <c r="AO45" s="502"/>
      <c r="AP45" s="502" t="str">
        <f>IF(T45="","",T45)</f>
        <v>Наименование системы теплоснабжения </v>
      </c>
      <c r="AQ45" s="502"/>
      <c r="AR45" s="502"/>
      <c r="AS45" s="1157">
        <v>23</v>
      </c>
    </row>
    <row customHeight="1" ht="22.049999999999997">
      <c r="A46" s="1365" t="s">
        <v>183</v>
      </c>
      <c r="B46" s="1365" t="s">
        <v>184</v>
      </c>
      <c r="C46" s="1365" t="s">
        <v>185</v>
      </c>
      <c r="D46" s="1365" t="s">
        <v>186</v>
      </c>
      <c r="E46" s="2278"/>
      <c r="F46" s="2278"/>
      <c r="G46" s="2278"/>
      <c r="H46" s="2277">
        <v>1</v>
      </c>
      <c r="I46" s="1365"/>
      <c r="J46" s="1365"/>
      <c r="K46" s="1365"/>
      <c r="L46" s="1366"/>
      <c r="M46" s="1367"/>
      <c r="N46" s="1367"/>
      <c r="O46" s="1367"/>
      <c r="P46" s="356"/>
      <c r="Q46" s="354"/>
      <c r="R46" s="355"/>
      <c r="S46" s="1338" t="str">
        <f>INDEX(PT_DIFFERENTIATION_NUM_IST_TE,MATCH(D46,PT_DIFFERENTIATION_IST_TE_ID,0))</f>
        <v>...</v>
      </c>
      <c r="T46" s="312" t="s">
        <v>396</v>
      </c>
      <c r="U46" s="302"/>
      <c r="V46" s="2271"/>
      <c r="W46" s="2272"/>
      <c r="X46" s="2272"/>
      <c r="Y46" s="2272"/>
      <c r="Z46" s="2272"/>
      <c r="AA46" s="2272"/>
      <c r="AB46" s="2272"/>
      <c r="AC46" s="2273"/>
      <c r="AD46" s="2271" t="str">
        <f>INDEX(PT_DIFFERENTIATION_IST_TE,MATCH(D46,PT_DIFFERENTIATION_IST_TE_ID,0))</f>
        <v/>
      </c>
      <c r="AE46" s="2272"/>
      <c r="AF46" s="2272"/>
      <c r="AG46" s="2272"/>
      <c r="AH46" s="2272"/>
      <c r="AI46" s="2272"/>
      <c r="AJ46" s="2272"/>
      <c r="AK46" s="2272"/>
      <c r="AL46" s="2273"/>
      <c r="AM46" s="1260" t="s">
        <v>397</v>
      </c>
      <c r="AO46" s="502"/>
      <c r="AP46" s="502" t="str">
        <f>IF(T46="","",T46)</f>
        <v>Источник тепловой энергии  </v>
      </c>
      <c r="AQ46" s="502"/>
      <c r="AR46" s="502"/>
      <c r="AS46" s="1157">
        <v>21</v>
      </c>
    </row>
    <row s="1644" customFormat="1" customHeight="1" ht="0">
      <c r="A47" s="1345" t="s">
        <v>183</v>
      </c>
      <c r="B47" s="1345" t="s">
        <v>184</v>
      </c>
      <c r="C47" s="1345" t="s">
        <v>185</v>
      </c>
      <c r="D47" s="1345" t="s">
        <v>186</v>
      </c>
      <c r="E47" s="2278"/>
      <c r="F47" s="2278"/>
      <c r="G47" s="2278"/>
      <c r="H47" s="2278"/>
      <c r="I47" s="2279" t="str">
        <f>S46&amp;".1"</f>
        <v>....1</v>
      </c>
      <c r="J47" s="1345"/>
      <c r="K47" s="1345"/>
      <c r="L47" s="1348" t="s">
        <v>398</v>
      </c>
      <c r="M47" s="512"/>
      <c r="N47" s="512"/>
      <c r="O47" s="512"/>
      <c r="P47" s="2281">
        <v>1</v>
      </c>
      <c r="Q47" s="1333"/>
      <c r="R47" s="358"/>
      <c r="S47" s="1044"/>
      <c r="T47" s="1385"/>
      <c r="U47" s="1386"/>
      <c r="V47" s="2319"/>
      <c r="W47" s="2320"/>
      <c r="X47" s="2320"/>
      <c r="Y47" s="2320"/>
      <c r="Z47" s="2320"/>
      <c r="AA47" s="2320"/>
      <c r="AB47" s="2320"/>
      <c r="AC47" s="2321"/>
      <c r="AD47" s="2319"/>
      <c r="AE47" s="2320"/>
      <c r="AF47" s="2320"/>
      <c r="AG47" s="2320"/>
      <c r="AH47" s="2320"/>
      <c r="AI47" s="2320"/>
      <c r="AJ47" s="2320"/>
      <c r="AK47" s="2320"/>
      <c r="AL47" s="2321"/>
      <c r="AM47" s="1387"/>
      <c r="AO47" s="502"/>
      <c r="AP47" s="502" t="str">
        <f>IF(T47="","",T47)</f>
        <v/>
      </c>
      <c r="AQ47" s="502"/>
      <c r="AR47" s="502"/>
      <c r="AS47" s="513">
        <v>0</v>
      </c>
    </row>
    <row customHeight="1" ht="22.049999999999997">
      <c r="A48" s="1365" t="s">
        <v>183</v>
      </c>
      <c r="B48" s="1365" t="s">
        <v>184</v>
      </c>
      <c r="C48" s="1365" t="s">
        <v>185</v>
      </c>
      <c r="D48" s="1365" t="s">
        <v>186</v>
      </c>
      <c r="E48" s="2278"/>
      <c r="F48" s="2278"/>
      <c r="G48" s="2278"/>
      <c r="H48" s="2278"/>
      <c r="I48" s="2280"/>
      <c r="J48" s="2279" t="str">
        <f>S46&amp;".1"</f>
        <v>....1</v>
      </c>
      <c r="K48" s="1365"/>
      <c r="L48" s="1366" t="s">
        <v>401</v>
      </c>
      <c r="P48" s="2281"/>
      <c r="Q48" s="2281">
        <v>1</v>
      </c>
      <c r="R48" s="359"/>
      <c r="S48" s="1338" t="str">
        <f>$J48</f>
        <v>....1</v>
      </c>
      <c r="T48" s="288" t="s">
        <v>402</v>
      </c>
      <c r="U48" s="302"/>
      <c r="V48" s="2265"/>
      <c r="W48" s="2266"/>
      <c r="X48" s="2266"/>
      <c r="Y48" s="2266"/>
      <c r="Z48" s="2266"/>
      <c r="AA48" s="2266"/>
      <c r="AB48" s="2266"/>
      <c r="AC48" s="2267"/>
      <c r="AD48" s="2265"/>
      <c r="AE48" s="2266"/>
      <c r="AF48" s="2266"/>
      <c r="AG48" s="2266"/>
      <c r="AH48" s="2266"/>
      <c r="AI48" s="2266"/>
      <c r="AJ48" s="2266"/>
      <c r="AK48" s="2266"/>
      <c r="AL48" s="2267"/>
      <c r="AM48" s="1260" t="s">
        <v>403</v>
      </c>
      <c r="AO48" s="502"/>
      <c r="AP48" s="502" t="str">
        <f>IF(T48="","",T48)</f>
        <v>Группа потребителей</v>
      </c>
      <c r="AQ48" s="502"/>
      <c r="AR48" s="502"/>
      <c r="AS48" s="1157">
        <v>21</v>
      </c>
    </row>
    <row customHeight="1" ht="22.049999999999997">
      <c r="A49" s="1365" t="s">
        <v>183</v>
      </c>
      <c r="B49" s="1365" t="s">
        <v>184</v>
      </c>
      <c r="C49" s="1365" t="s">
        <v>185</v>
      </c>
      <c r="D49" s="1365" t="s">
        <v>186</v>
      </c>
      <c r="E49" s="2278"/>
      <c r="F49" s="2278"/>
      <c r="G49" s="2278"/>
      <c r="H49" s="2278"/>
      <c r="I49" s="2280"/>
      <c r="J49" s="2280"/>
      <c r="K49" s="2279" t="str">
        <f>J48&amp;".1"</f>
        <v>....1.1</v>
      </c>
      <c r="L49" s="1366" t="s">
        <v>404</v>
      </c>
      <c r="P49" s="2281"/>
      <c r="Q49" s="2281"/>
      <c r="R49" s="359">
        <v>1</v>
      </c>
      <c r="S49" s="1338" t="str">
        <f>$K49</f>
        <v>....1.1</v>
      </c>
      <c r="T49" s="1349"/>
      <c r="U49" s="302"/>
      <c r="V49" s="753"/>
      <c r="W49" s="327"/>
      <c r="X49" s="753"/>
      <c r="Y49" s="1259"/>
      <c r="Z49" s="2282"/>
      <c r="AA49" s="2150" t="s">
        <v>65</v>
      </c>
      <c r="AB49" s="2282"/>
      <c r="AC49" s="2150" t="s">
        <v>65</v>
      </c>
      <c r="AD49" s="753"/>
      <c r="AE49" s="327"/>
      <c r="AF49" s="753"/>
      <c r="AG49" s="1259"/>
      <c r="AH49" s="2282"/>
      <c r="AI49" s="2150" t="s">
        <v>65</v>
      </c>
      <c r="AJ49" s="2284"/>
      <c r="AK49" s="2150" t="s">
        <v>65</v>
      </c>
      <c r="AL49" s="1350"/>
      <c r="AM49" s="2307" t="s">
        <v>442</v>
      </c>
      <c r="AN49" s="513">
        <f>STRCHECKDATE(V50:AL50)</f>
      </c>
      <c r="AO49" s="502"/>
      <c r="AP49" s="502" t="str">
        <f>IF(T49="","",T49)</f>
        <v/>
      </c>
      <c r="AQ49" s="502"/>
      <c r="AR49" s="502"/>
      <c r="AS49" s="1157">
        <v>21</v>
      </c>
    </row>
    <row customHeight="1" ht="0">
      <c r="A50" s="1365" t="s">
        <v>183</v>
      </c>
      <c r="B50" s="1365" t="s">
        <v>184</v>
      </c>
      <c r="C50" s="1365" t="s">
        <v>185</v>
      </c>
      <c r="D50" s="1365" t="s">
        <v>186</v>
      </c>
      <c r="E50" s="2278"/>
      <c r="F50" s="2278"/>
      <c r="G50" s="2278"/>
      <c r="H50" s="2278"/>
      <c r="I50" s="2280"/>
      <c r="J50" s="2280"/>
      <c r="K50" s="2279"/>
      <c r="L50" s="1366"/>
      <c r="P50" s="2281"/>
      <c r="Q50" s="2281"/>
      <c r="R50" s="359"/>
      <c r="S50" s="1344"/>
      <c r="T50" s="302"/>
      <c r="U50" s="302"/>
      <c r="V50" s="327"/>
      <c r="W50" s="327"/>
      <c r="X50" s="327"/>
      <c r="Y50" s="330" t="str">
        <f>Z49&amp;"-"&amp;AB49</f>
        <v>-</v>
      </c>
      <c r="Z50" s="2283"/>
      <c r="AA50" s="2150"/>
      <c r="AB50" s="2283"/>
      <c r="AC50" s="2150"/>
      <c r="AD50" s="327"/>
      <c r="AE50" s="327"/>
      <c r="AF50" s="327"/>
      <c r="AG50" s="330" t="str">
        <f>AH49&amp;"-"&amp;AJ49</f>
        <v>-</v>
      </c>
      <c r="AH50" s="2283"/>
      <c r="AI50" s="2150"/>
      <c r="AJ50" s="2285"/>
      <c r="AK50" s="2150"/>
      <c r="AL50" s="1351"/>
      <c r="AM50" s="2308"/>
      <c r="AO50" s="502"/>
      <c r="AP50" s="502" t="str">
        <f>IF(T50="","",T50)</f>
        <v/>
      </c>
      <c r="AQ50" s="502"/>
      <c r="AR50" s="502"/>
      <c r="AS50" s="1157">
        <v>0</v>
      </c>
    </row>
    <row customHeight="1" ht="11.549999999999999">
      <c r="A51" s="1365" t="s">
        <v>183</v>
      </c>
      <c r="B51" s="1365" t="s">
        <v>184</v>
      </c>
      <c r="C51" s="1365" t="s">
        <v>185</v>
      </c>
      <c r="D51" s="1365" t="s">
        <v>186</v>
      </c>
      <c r="E51" s="2278"/>
      <c r="F51" s="2278"/>
      <c r="G51" s="2278"/>
      <c r="H51" s="2278"/>
      <c r="I51" s="2280"/>
      <c r="J51" s="2279"/>
      <c r="K51" s="1365"/>
      <c r="L51" s="1366"/>
      <c r="P51" s="2281"/>
      <c r="Q51" s="2281"/>
      <c r="R51" s="358"/>
      <c r="S51" s="1280"/>
      <c r="T51" s="289" t="s">
        <v>406</v>
      </c>
      <c r="U51" s="369"/>
      <c r="V51" s="369"/>
      <c r="W51" s="369"/>
      <c r="X51" s="369"/>
      <c r="Y51" s="369"/>
      <c r="Z51" s="369"/>
      <c r="AA51" s="369"/>
      <c r="AB51" s="369"/>
      <c r="AC51" s="369"/>
      <c r="AD51" s="369"/>
      <c r="AE51" s="369"/>
      <c r="AF51" s="369"/>
      <c r="AG51" s="369"/>
      <c r="AH51" s="369"/>
      <c r="AI51" s="369"/>
      <c r="AJ51" s="369"/>
      <c r="AK51" s="369"/>
      <c r="AL51" s="326"/>
      <c r="AM51" s="2309"/>
      <c r="AO51" s="502"/>
      <c r="AP51" s="502" t="str">
        <f>IF(T51="","",T51)</f>
        <v>Добавить вид теплоносителя (параметры теплоносителя)</v>
      </c>
      <c r="AQ51" s="502"/>
      <c r="AR51" s="502"/>
      <c r="AS51" s="1157">
        <v>11</v>
      </c>
    </row>
    <row customHeight="1" ht="11.549999999999999">
      <c r="A52" s="1365" t="s">
        <v>183</v>
      </c>
      <c r="B52" s="1365" t="s">
        <v>184</v>
      </c>
      <c r="C52" s="1365" t="s">
        <v>185</v>
      </c>
      <c r="D52" s="1365" t="s">
        <v>186</v>
      </c>
      <c r="E52" s="2278"/>
      <c r="F52" s="2278"/>
      <c r="G52" s="2278"/>
      <c r="H52" s="2278"/>
      <c r="I52" s="2279"/>
      <c r="J52" s="1365"/>
      <c r="K52" s="1365"/>
      <c r="L52" s="1366"/>
      <c r="P52" s="2281"/>
      <c r="Q52" s="1333"/>
      <c r="R52" s="358"/>
      <c r="S52" s="1280"/>
      <c r="T52" s="367" t="s">
        <v>407</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183</v>
      </c>
      <c r="B53" s="1365" t="s">
        <v>184</v>
      </c>
      <c r="C53" s="1365" t="s">
        <v>185</v>
      </c>
      <c r="D53" s="1365" t="s">
        <v>186</v>
      </c>
      <c r="E53" s="2278"/>
      <c r="F53" s="2278"/>
      <c r="G53" s="2278"/>
      <c r="H53" s="2277"/>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183</v>
      </c>
      <c r="B54" s="1345" t="s">
        <v>184</v>
      </c>
      <c r="C54" s="1345" t="s">
        <v>185</v>
      </c>
      <c r="D54" s="1316"/>
      <c r="E54" s="2278"/>
      <c r="F54" s="2278"/>
      <c r="G54" s="2277"/>
      <c r="H54" s="1316"/>
      <c r="I54" s="1316"/>
      <c r="J54" s="1316"/>
      <c r="K54" s="1316"/>
      <c r="L54" s="1341"/>
      <c r="M54" s="1317"/>
      <c r="N54" s="1317"/>
      <c r="P54" s="1318"/>
      <c r="Q54" s="1319"/>
      <c r="R54" s="1318"/>
      <c r="S54" s="1324"/>
      <c r="T54" s="1327" t="s">
        <v>409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183</v>
      </c>
      <c r="B55" s="1345" t="s">
        <v>184</v>
      </c>
      <c r="C55" s="1316"/>
      <c r="D55" s="1316"/>
      <c r="E55" s="2278"/>
      <c r="F55" s="2277"/>
      <c r="G55" s="1316"/>
      <c r="H55" s="1316"/>
      <c r="I55" s="1316"/>
      <c r="J55" s="1316"/>
      <c r="K55" s="1316"/>
      <c r="L55" s="1341"/>
      <c r="M55" s="1323"/>
      <c r="N55" s="1323"/>
      <c r="P55" s="1318"/>
      <c r="Q55" s="1319"/>
      <c r="R55" s="1318"/>
      <c r="S55" s="1324"/>
      <c r="T55" s="1327" t="s">
        <v>410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183</v>
      </c>
      <c r="B56" s="1345"/>
      <c r="C56" s="1345"/>
      <c r="D56" s="1345"/>
      <c r="E56" s="2277"/>
      <c r="F56" s="1345"/>
      <c r="G56" s="1345"/>
      <c r="H56" s="1345"/>
      <c r="I56" s="1345"/>
      <c r="J56" s="1345"/>
      <c r="K56" s="1345"/>
      <c r="L56" s="1348"/>
      <c r="M56" s="1323"/>
      <c r="N56" s="1323"/>
      <c r="O56" s="520"/>
      <c r="P56" s="382"/>
      <c r="Q56" s="1346"/>
      <c r="R56" s="382"/>
      <c r="S56" s="1324"/>
      <c r="T56" s="1327" t="s">
        <v>411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439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76"/>
      <c r="U59" s="2276"/>
      <c r="V59" s="2276"/>
      <c r="W59" s="2276"/>
      <c r="X59" s="2276"/>
      <c r="Y59" s="2276"/>
      <c r="Z59" s="2276"/>
      <c r="AA59" s="2276"/>
      <c r="AB59" s="2276"/>
      <c r="AC59" s="2276"/>
      <c r="AD59" s="2276"/>
      <c r="AE59" s="2276"/>
      <c r="AF59" s="2276"/>
      <c r="AG59" s="2276"/>
      <c r="AH59" s="2276"/>
      <c r="AI59" s="2276"/>
      <c r="AJ59" s="2276"/>
      <c r="AK59" s="2276"/>
      <c r="AL59" s="2276"/>
      <c r="AM59" s="2276"/>
      <c r="AS59" s="1157">
        <v>14</v>
      </c>
    </row>
    <row customHeight="1" ht="14.699999999999998">
      <c r="O60" s="539"/>
      <c r="T60" s="2276"/>
      <c r="U60" s="2276"/>
      <c r="V60" s="2276"/>
      <c r="W60" s="2276"/>
      <c r="X60" s="2276"/>
      <c r="Y60" s="2276"/>
      <c r="Z60" s="2276"/>
      <c r="AA60" s="2276"/>
      <c r="AB60" s="2276"/>
      <c r="AC60" s="2276"/>
      <c r="AD60" s="2276"/>
      <c r="AE60" s="2276"/>
      <c r="AF60" s="2276"/>
      <c r="AG60" s="2276"/>
      <c r="AH60" s="2276"/>
      <c r="AI60" s="2276"/>
      <c r="AJ60" s="2276"/>
      <c r="AK60" s="2276"/>
      <c r="AL60" s="2276"/>
      <c r="AM60" s="2276"/>
      <c r="AS60" s="1157">
        <v>14</v>
      </c>
    </row>
    <row customHeight="1" ht="14.699999999999998">
      <c r="O61" s="539"/>
      <c r="T61" s="2276"/>
      <c r="U61" s="2276"/>
      <c r="V61" s="2276"/>
      <c r="W61" s="2276"/>
      <c r="X61" s="2276"/>
      <c r="Y61" s="2276"/>
      <c r="Z61" s="2276"/>
      <c r="AA61" s="2276"/>
      <c r="AB61" s="2276"/>
      <c r="AC61" s="2276"/>
      <c r="AD61" s="2276"/>
      <c r="AE61" s="2276"/>
      <c r="AF61" s="2276"/>
      <c r="AG61" s="2276"/>
      <c r="AH61" s="2276"/>
      <c r="AI61" s="2276"/>
      <c r="AJ61" s="2276"/>
      <c r="AK61" s="2276"/>
      <c r="AL61" s="2276"/>
      <c r="AM61" s="2276"/>
      <c r="AS61" s="1157">
        <v>14</v>
      </c>
    </row>
    <row customHeight="1" ht="14.699999999999998">
      <c r="O62" s="539"/>
      <c r="AS62" s="1157">
        <v>14</v>
      </c>
    </row>
    <row customHeight="1" ht="14.699999999999998">
      <c r="O63" s="539"/>
      <c r="S63" s="1255"/>
      <c r="T63" s="2322"/>
      <c r="U63" s="2276"/>
      <c r="V63" s="2276"/>
      <c r="W63" s="2276"/>
      <c r="X63" s="2276"/>
      <c r="Y63" s="2276"/>
      <c r="Z63" s="2276"/>
      <c r="AA63" s="2276"/>
      <c r="AB63" s="2276"/>
      <c r="AC63" s="2276"/>
      <c r="AD63" s="2276"/>
      <c r="AE63" s="2276"/>
      <c r="AF63" s="2276"/>
      <c r="AG63" s="2276"/>
      <c r="AH63" s="2276"/>
      <c r="AI63" s="2276"/>
      <c r="AJ63" s="2276"/>
      <c r="AK63" s="2276"/>
      <c r="AL63" s="2276"/>
      <c r="AM63" s="2276"/>
      <c r="AS63" s="1157">
        <v>14</v>
      </c>
    </row>
    <row customHeight="1" ht="14.699999999999998">
      <c r="O64" s="539"/>
      <c r="T64" s="2276"/>
      <c r="U64" s="2276"/>
      <c r="V64" s="2276"/>
      <c r="W64" s="2276"/>
      <c r="X64" s="2276"/>
      <c r="Y64" s="2276"/>
      <c r="Z64" s="2276"/>
      <c r="AA64" s="2276"/>
      <c r="AB64" s="2276"/>
      <c r="AC64" s="2276"/>
      <c r="AD64" s="2276"/>
      <c r="AE64" s="2276"/>
      <c r="AF64" s="2276"/>
      <c r="AG64" s="2276"/>
      <c r="AH64" s="2276"/>
      <c r="AI64" s="2276"/>
      <c r="AJ64" s="2276"/>
      <c r="AK64" s="2276"/>
      <c r="AL64" s="2276"/>
      <c r="AM64" s="2276"/>
      <c r="AS64" s="1157">
        <v>14</v>
      </c>
    </row>
    <row customHeight="1" ht="14.699999999999998">
      <c r="T65" s="2276"/>
      <c r="U65" s="2276"/>
      <c r="V65" s="2276"/>
      <c r="W65" s="2276"/>
      <c r="X65" s="2276"/>
      <c r="Y65" s="2276"/>
      <c r="Z65" s="2276"/>
      <c r="AA65" s="2276"/>
      <c r="AB65" s="2276"/>
      <c r="AC65" s="2276"/>
      <c r="AD65" s="2276"/>
      <c r="AE65" s="2276"/>
      <c r="AF65" s="2276"/>
      <c r="AG65" s="2276"/>
      <c r="AH65" s="2276"/>
      <c r="AI65" s="2276"/>
      <c r="AJ65" s="2276"/>
      <c r="AK65" s="2276"/>
      <c r="AL65" s="2276"/>
      <c r="AM65" s="2276"/>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6A51D-CAB8-6638-E15D-D1315755C0E1}"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38" width="19.140625" hidden="1" customWidth="1"/>
    <col min="14" max="15" style="2420" width="12.28125" hidden="1" customWidth="1"/>
    <col min="16" max="16" style="2420" width="23.421875" hidden="1" customWidth="1"/>
    <col min="17" max="17" style="2420" width="3.7109375" hidden="1" customWidth="1"/>
    <col min="18" max="20" style="346" width="3.00390625" customWidth="1"/>
    <col min="21" max="21" style="2433"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312">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120</v>
      </c>
      <c r="W2" s="302"/>
      <c r="X2" s="2271"/>
      <c r="Y2" s="2272"/>
      <c r="Z2" s="2272"/>
      <c r="AA2" s="2272"/>
      <c r="AB2" s="2272"/>
      <c r="AC2" s="2272"/>
      <c r="AD2" s="2272"/>
      <c r="AE2" s="2272"/>
      <c r="AF2" s="2273"/>
      <c r="AG2" s="2271">
        <f>INDEX(PT_DIFFERENTIATION_NTAR,MATCH(A2,PT_DIFFERENTIATION_NTAR_ID,0))</f>
      </c>
      <c r="AH2" s="2272"/>
      <c r="AI2" s="2272"/>
      <c r="AJ2" s="2272"/>
      <c r="AK2" s="2272"/>
      <c r="AL2" s="2272"/>
      <c r="AM2" s="2272"/>
      <c r="AN2" s="2272"/>
      <c r="AO2" s="2272"/>
      <c r="AP2" s="2273"/>
      <c r="AQ2" s="1260" t="s">
        <v>391</v>
      </c>
      <c r="AS2" s="502"/>
      <c r="AT2" s="502" t="str">
        <f>IF(V2="","",V2)</f>
        <v>Наименование тарифа</v>
      </c>
      <c r="AU2" s="502"/>
      <c r="AV2" s="502"/>
      <c r="AW2" s="1157">
        <v>0</v>
      </c>
    </row>
    <row customHeight="1" ht="21" hidden="1">
      <c r="A3" s="1269"/>
      <c r="B3" s="1269"/>
      <c r="C3" s="1269"/>
      <c r="D3" s="1269"/>
      <c r="E3" s="2313"/>
      <c r="F3" s="2312">
        <v>1</v>
      </c>
      <c r="G3" s="1269"/>
      <c r="H3" s="1269"/>
      <c r="I3" s="1269"/>
      <c r="J3" s="1269"/>
      <c r="K3" s="1269"/>
      <c r="L3" s="1269"/>
      <c r="M3" s="1312"/>
      <c r="N3" s="690"/>
      <c r="O3" s="690"/>
      <c r="P3" s="690"/>
      <c r="Q3" s="1334"/>
      <c r="R3" s="354"/>
      <c r="S3" s="511"/>
      <c r="T3" s="355"/>
      <c r="U3" s="1338">
        <f>INDEX(PT_DIFFERENTIATION_NUM_TER,MATCH(B3,PT_DIFFERENTIATION_TER_ID,0))</f>
      </c>
      <c r="V3" s="310" t="s">
        <v>392</v>
      </c>
      <c r="W3" s="302"/>
      <c r="X3" s="2271"/>
      <c r="Y3" s="2272"/>
      <c r="Z3" s="2272"/>
      <c r="AA3" s="2272"/>
      <c r="AB3" s="2272"/>
      <c r="AC3" s="2272"/>
      <c r="AD3" s="2272"/>
      <c r="AE3" s="2272"/>
      <c r="AF3" s="2273"/>
      <c r="AG3" s="2271">
        <f>INDEX(PT_DIFFERENTIATION_TER,MATCH(B3,PT_DIFFERENTIATION_TER_ID,0))</f>
      </c>
      <c r="AH3" s="2272"/>
      <c r="AI3" s="2272"/>
      <c r="AJ3" s="2272"/>
      <c r="AK3" s="2272"/>
      <c r="AL3" s="2272"/>
      <c r="AM3" s="2272"/>
      <c r="AN3" s="2272"/>
      <c r="AO3" s="2272"/>
      <c r="AP3" s="2273"/>
      <c r="AQ3" s="1260" t="s">
        <v>393</v>
      </c>
      <c r="AS3" s="502"/>
      <c r="AT3" s="502" t="str">
        <f>IF(V3="","",V3)</f>
        <v>Территория действия тарифа</v>
      </c>
      <c r="AU3" s="502"/>
      <c r="AV3" s="502"/>
      <c r="AW3" s="1157">
        <v>0</v>
      </c>
    </row>
    <row customHeight="1" ht="22.5" hidden="1">
      <c r="A4" s="1269"/>
      <c r="B4" s="1269"/>
      <c r="C4" s="1269"/>
      <c r="D4" s="1269"/>
      <c r="E4" s="2313"/>
      <c r="F4" s="2313"/>
      <c r="G4" s="2312">
        <v>1</v>
      </c>
      <c r="H4" s="1269"/>
      <c r="I4" s="1269"/>
      <c r="J4" s="1269"/>
      <c r="K4" s="1269"/>
      <c r="L4" s="1269"/>
      <c r="M4" s="1312"/>
      <c r="N4" s="690"/>
      <c r="O4" s="690"/>
      <c r="P4" s="690"/>
      <c r="Q4" s="356"/>
      <c r="R4" s="354"/>
      <c r="S4" s="511"/>
      <c r="T4" s="355"/>
      <c r="U4" s="1338">
        <f>INDEX(PT_DIFFERENTIATION_NUM_CS,MATCH(C4,PT_DIFFERENTIATION_CS_ID,0))</f>
      </c>
      <c r="V4" s="311" t="s">
        <v>394</v>
      </c>
      <c r="W4" s="302"/>
      <c r="X4" s="2271"/>
      <c r="Y4" s="2272"/>
      <c r="Z4" s="2272"/>
      <c r="AA4" s="2272"/>
      <c r="AB4" s="2272"/>
      <c r="AC4" s="2272"/>
      <c r="AD4" s="2272"/>
      <c r="AE4" s="2272"/>
      <c r="AF4" s="2273"/>
      <c r="AG4" s="2271">
        <f>INDEX(PT_DIFFERENTIATION_CS,MATCH(C4,PT_DIFFERENTIATION_CS_ID,0))</f>
      </c>
      <c r="AH4" s="2272"/>
      <c r="AI4" s="2272"/>
      <c r="AJ4" s="2272"/>
      <c r="AK4" s="2272"/>
      <c r="AL4" s="2272"/>
      <c r="AM4" s="2272"/>
      <c r="AN4" s="2272"/>
      <c r="AO4" s="2272"/>
      <c r="AP4" s="2273"/>
      <c r="AQ4" s="1260" t="s">
        <v>395</v>
      </c>
      <c r="AS4" s="502"/>
      <c r="AT4" s="502" t="str">
        <f>IF(V4="","",V4)</f>
        <v>Наименование системы теплоснабжения </v>
      </c>
      <c r="AU4" s="502"/>
      <c r="AV4" s="502"/>
      <c r="AW4" s="1157">
        <v>0</v>
      </c>
    </row>
    <row customHeight="1" ht="21" hidden="1">
      <c r="A5" s="1269"/>
      <c r="B5" s="1269"/>
      <c r="C5" s="1269"/>
      <c r="D5" s="1269"/>
      <c r="E5" s="2313"/>
      <c r="F5" s="2313"/>
      <c r="G5" s="2313"/>
      <c r="H5" s="2312">
        <v>1</v>
      </c>
      <c r="I5" s="1269"/>
      <c r="J5" s="1269"/>
      <c r="K5" s="1269"/>
      <c r="L5" s="1269"/>
      <c r="M5" s="1312"/>
      <c r="N5" s="690"/>
      <c r="O5" s="690"/>
      <c r="P5" s="690"/>
      <c r="Q5" s="356"/>
      <c r="R5" s="354"/>
      <c r="S5" s="511"/>
      <c r="T5" s="355"/>
      <c r="U5" s="1338">
        <f>INDEX(PT_DIFFERENTIATION_NUM_IST_TE,MATCH(D5,PT_DIFFERENTIATION_IST_TE_ID,0))</f>
      </c>
      <c r="V5" s="312" t="s">
        <v>396</v>
      </c>
      <c r="W5" s="302"/>
      <c r="X5" s="2271"/>
      <c r="Y5" s="2272"/>
      <c r="Z5" s="2272"/>
      <c r="AA5" s="2272"/>
      <c r="AB5" s="2272"/>
      <c r="AC5" s="2272"/>
      <c r="AD5" s="2272"/>
      <c r="AE5" s="2272"/>
      <c r="AF5" s="2273"/>
      <c r="AG5" s="2271">
        <f>INDEX(PT_DIFFERENTIATION_IST_TE,MATCH(D5,PT_DIFFERENTIATION_IST_TE_ID,0))</f>
      </c>
      <c r="AH5" s="2272"/>
      <c r="AI5" s="2272"/>
      <c r="AJ5" s="2272"/>
      <c r="AK5" s="2272"/>
      <c r="AL5" s="2272"/>
      <c r="AM5" s="2272"/>
      <c r="AN5" s="2272"/>
      <c r="AO5" s="2272"/>
      <c r="AP5" s="2273"/>
      <c r="AQ5" s="1260" t="s">
        <v>397</v>
      </c>
      <c r="AS5" s="502"/>
      <c r="AT5" s="502" t="str">
        <f>IF(V5="","",V5)</f>
        <v>Источник тепловой энергии  </v>
      </c>
      <c r="AU5" s="502"/>
      <c r="AV5" s="502"/>
      <c r="AW5" s="1157">
        <v>0</v>
      </c>
    </row>
    <row customHeight="1" ht="14.25" hidden="1">
      <c r="A6" s="1269"/>
      <c r="B6" s="1269"/>
      <c r="C6" s="1269"/>
      <c r="D6" s="1269"/>
      <c r="E6" s="2313"/>
      <c r="F6" s="2313"/>
      <c r="G6" s="2313"/>
      <c r="H6" s="2313"/>
      <c r="I6" s="2140">
        <f>U5&amp;".1"</f>
      </c>
      <c r="J6" s="1269"/>
      <c r="K6" s="1269"/>
      <c r="L6" s="1269"/>
      <c r="M6" s="1312" t="s">
        <v>398</v>
      </c>
      <c r="N6" s="511"/>
      <c r="Q6" s="2281">
        <v>1</v>
      </c>
      <c r="R6" s="1333"/>
      <c r="S6" s="1333"/>
      <c r="T6" s="358"/>
      <c r="U6" s="1044"/>
      <c r="V6" s="1385"/>
      <c r="W6" s="1386"/>
      <c r="X6" s="2319"/>
      <c r="Y6" s="2320"/>
      <c r="Z6" s="2320"/>
      <c r="AA6" s="2320"/>
      <c r="AB6" s="2320"/>
      <c r="AC6" s="2320"/>
      <c r="AD6" s="2320"/>
      <c r="AE6" s="2320"/>
      <c r="AF6" s="2321"/>
      <c r="AG6" s="2319"/>
      <c r="AH6" s="2320"/>
      <c r="AI6" s="2320"/>
      <c r="AJ6" s="2320"/>
      <c r="AK6" s="2320"/>
      <c r="AL6" s="2320"/>
      <c r="AM6" s="2320"/>
      <c r="AN6" s="2320"/>
      <c r="AO6" s="2320"/>
      <c r="AP6" s="2321"/>
      <c r="AQ6" s="1387"/>
      <c r="AS6" s="502"/>
      <c r="AT6" s="502" t="str">
        <f>IF(V6="","",V6)</f>
        <v/>
      </c>
      <c r="AU6" s="502"/>
      <c r="AV6" s="502"/>
      <c r="AW6" s="1157">
        <v>0</v>
      </c>
    </row>
    <row customHeight="1" ht="21" hidden="1">
      <c r="A7" s="1269"/>
      <c r="B7" s="1269"/>
      <c r="C7" s="1269"/>
      <c r="D7" s="1269"/>
      <c r="E7" s="2313"/>
      <c r="F7" s="2313"/>
      <c r="G7" s="2313"/>
      <c r="H7" s="2313"/>
      <c r="I7" s="2124"/>
      <c r="J7" s="2140">
        <f>I6&amp;".1"</f>
      </c>
      <c r="K7" s="1269"/>
      <c r="L7" s="1269"/>
      <c r="M7" s="1312" t="s">
        <v>401</v>
      </c>
      <c r="N7" s="511"/>
      <c r="O7" s="329"/>
      <c r="Q7" s="2281"/>
      <c r="R7" s="2281">
        <v>1</v>
      </c>
      <c r="S7" s="520"/>
      <c r="T7" s="359"/>
      <c r="U7" s="1338">
        <f>$J7</f>
      </c>
      <c r="V7" s="288" t="s">
        <v>402</v>
      </c>
      <c r="W7" s="302"/>
      <c r="X7" s="2265"/>
      <c r="Y7" s="2266"/>
      <c r="Z7" s="2266"/>
      <c r="AA7" s="2266"/>
      <c r="AB7" s="2266"/>
      <c r="AC7" s="2258"/>
      <c r="AD7" s="2258"/>
      <c r="AE7" s="2258"/>
      <c r="AF7" s="2348"/>
      <c r="AG7" s="2265"/>
      <c r="AH7" s="2266"/>
      <c r="AI7" s="2266"/>
      <c r="AJ7" s="2266"/>
      <c r="AK7" s="2266"/>
      <c r="AL7" s="2266"/>
      <c r="AM7" s="2266"/>
      <c r="AN7" s="2266"/>
      <c r="AO7" s="2266"/>
      <c r="AP7" s="2267"/>
      <c r="AQ7" s="1260" t="s">
        <v>403</v>
      </c>
      <c r="AS7" s="502"/>
      <c r="AT7" s="502" t="str">
        <f>IF(V7="","",V7)</f>
        <v>Группа потребителей</v>
      </c>
      <c r="AU7" s="502"/>
      <c r="AV7" s="502"/>
      <c r="AW7" s="1157">
        <v>0</v>
      </c>
    </row>
    <row customHeight="1" ht="21" hidden="1">
      <c r="A8" s="1269"/>
      <c r="B8" s="1269"/>
      <c r="C8" s="1269"/>
      <c r="D8" s="1269"/>
      <c r="E8" s="2313"/>
      <c r="F8" s="2313"/>
      <c r="G8" s="2313"/>
      <c r="H8" s="2313"/>
      <c r="I8" s="2124"/>
      <c r="J8" s="2124"/>
      <c r="K8" s="2140">
        <f>J7&amp;".1"</f>
      </c>
      <c r="L8" s="141"/>
      <c r="M8" s="1312" t="s">
        <v>404</v>
      </c>
      <c r="N8" s="511"/>
      <c r="O8" s="329"/>
      <c r="P8" s="329"/>
      <c r="Q8" s="2281"/>
      <c r="R8" s="2281"/>
      <c r="S8" s="2281">
        <v>1</v>
      </c>
      <c r="T8" s="359"/>
      <c r="U8" s="1338">
        <f>$K8</f>
      </c>
      <c r="V8" s="1349"/>
      <c r="W8" s="302"/>
      <c r="X8" s="753"/>
      <c r="Y8" s="753"/>
      <c r="Z8" s="753"/>
      <c r="AA8" s="753"/>
      <c r="AB8" s="1407"/>
      <c r="AC8" s="2282"/>
      <c r="AD8" s="2150" t="s">
        <v>65</v>
      </c>
      <c r="AE8" s="2282"/>
      <c r="AF8" s="2150" t="s">
        <v>65</v>
      </c>
      <c r="AG8" s="1409"/>
      <c r="AH8" s="753"/>
      <c r="AI8" s="753"/>
      <c r="AJ8" s="753"/>
      <c r="AK8" s="1259"/>
      <c r="AL8" s="2282"/>
      <c r="AM8" s="2150" t="s">
        <v>65</v>
      </c>
      <c r="AN8" s="2282"/>
      <c r="AO8" s="2150" t="s">
        <v>65</v>
      </c>
      <c r="AP8" s="327"/>
      <c r="AQ8" s="1309" t="s">
        <v>443</v>
      </c>
      <c r="AR8" s="513">
        <f>STRCHECKDATE(X10:AP10)</f>
      </c>
      <c r="AS8" s="502"/>
      <c r="AT8" s="502" t="str">
        <f>IF(V8="","",V8)</f>
        <v/>
      </c>
      <c r="AU8" s="502"/>
      <c r="AV8" s="502"/>
      <c r="AW8" s="1157">
        <v>0</v>
      </c>
    </row>
    <row customHeight="1" ht="21" hidden="1">
      <c r="A9" s="1269"/>
      <c r="B9" s="1269"/>
      <c r="C9" s="1269"/>
      <c r="D9" s="1269"/>
      <c r="E9" s="2313"/>
      <c r="F9" s="2313"/>
      <c r="G9" s="2313"/>
      <c r="H9" s="2313"/>
      <c r="I9" s="2124"/>
      <c r="J9" s="2124"/>
      <c r="K9" s="2124"/>
      <c r="L9" s="2140">
        <f>K8&amp;".1"</f>
      </c>
      <c r="M9" s="1312"/>
      <c r="N9" s="511"/>
      <c r="O9" s="329"/>
      <c r="P9" s="329"/>
      <c r="Q9" s="2281"/>
      <c r="R9" s="2281"/>
      <c r="S9" s="2281"/>
      <c r="T9" s="359"/>
      <c r="U9" s="1338">
        <f>$L9</f>
      </c>
      <c r="V9" s="1393"/>
      <c r="W9" s="302"/>
      <c r="X9" s="327"/>
      <c r="Y9" s="753"/>
      <c r="Z9" s="753"/>
      <c r="AA9" s="753"/>
      <c r="AB9" s="1407"/>
      <c r="AC9" s="2331"/>
      <c r="AD9" s="2150"/>
      <c r="AE9" s="2331"/>
      <c r="AF9" s="2150"/>
      <c r="AG9" s="1409"/>
      <c r="AH9" s="753"/>
      <c r="AI9" s="753"/>
      <c r="AJ9" s="753"/>
      <c r="AK9" s="1259"/>
      <c r="AL9" s="2331"/>
      <c r="AM9" s="2150"/>
      <c r="AN9" s="2331"/>
      <c r="AO9" s="2150"/>
      <c r="AP9" s="327"/>
      <c r="AQ9" s="2307" t="s">
        <v>444</v>
      </c>
      <c r="AS9" s="502"/>
      <c r="AT9" s="502"/>
      <c r="AU9" s="502"/>
      <c r="AV9" s="502"/>
      <c r="AW9" s="1157">
        <v>0</v>
      </c>
    </row>
    <row customHeight="1" ht="14.25" hidden="1">
      <c r="A10" s="1269"/>
      <c r="B10" s="1269"/>
      <c r="C10" s="1269"/>
      <c r="D10" s="1269"/>
      <c r="E10" s="2313"/>
      <c r="F10" s="2313"/>
      <c r="G10" s="2313"/>
      <c r="H10" s="2313"/>
      <c r="I10" s="2124"/>
      <c r="J10" s="2124"/>
      <c r="K10" s="2124"/>
      <c r="L10" s="2140"/>
      <c r="M10" s="1312"/>
      <c r="N10" s="511"/>
      <c r="O10" s="329"/>
      <c r="P10" s="329"/>
      <c r="Q10" s="2281"/>
      <c r="R10" s="2281"/>
      <c r="S10" s="2281"/>
      <c r="T10" s="359"/>
      <c r="U10" s="1344"/>
      <c r="V10" s="302"/>
      <c r="W10" s="302"/>
      <c r="X10" s="327"/>
      <c r="Y10" s="327"/>
      <c r="Z10" s="327"/>
      <c r="AA10" s="327"/>
      <c r="AB10" s="1408" t="str">
        <f>AC8&amp;"-"&amp;AE8</f>
        <v>-</v>
      </c>
      <c r="AC10" s="2331"/>
      <c r="AD10" s="2150"/>
      <c r="AE10" s="2331"/>
      <c r="AF10" s="2150"/>
      <c r="AG10" s="1384"/>
      <c r="AH10" s="327"/>
      <c r="AI10" s="327"/>
      <c r="AJ10" s="327"/>
      <c r="AK10" s="330" t="str">
        <f>AL8&amp;"-"&amp;AN8</f>
        <v>-</v>
      </c>
      <c r="AL10" s="2331"/>
      <c r="AM10" s="2150"/>
      <c r="AN10" s="2331"/>
      <c r="AO10" s="2150"/>
      <c r="AP10" s="327"/>
      <c r="AQ10" s="2308"/>
      <c r="AS10" s="502"/>
      <c r="AT10" s="502" t="str">
        <f>IF(V10="","",V10)</f>
        <v/>
      </c>
      <c r="AU10" s="502"/>
      <c r="AV10" s="502"/>
      <c r="AW10" s="1157">
        <v>0</v>
      </c>
    </row>
    <row customHeight="1" ht="11.25" hidden="1">
      <c r="A11" s="1269"/>
      <c r="B11" s="1269"/>
      <c r="C11" s="1269"/>
      <c r="D11" s="1269"/>
      <c r="E11" s="2313"/>
      <c r="F11" s="2313"/>
      <c r="G11" s="2313"/>
      <c r="H11" s="2313"/>
      <c r="I11" s="2124"/>
      <c r="J11" s="2124"/>
      <c r="K11" s="2140"/>
      <c r="L11" s="1269"/>
      <c r="M11" s="1312"/>
      <c r="N11" s="511"/>
      <c r="O11" s="329"/>
      <c r="P11" s="329"/>
      <c r="Q11" s="2281"/>
      <c r="R11" s="2281"/>
      <c r="S11" s="2281"/>
      <c r="T11" s="359"/>
      <c r="U11" s="1280"/>
      <c r="V11" s="290" t="s">
        <v>445</v>
      </c>
      <c r="W11" s="1394"/>
      <c r="X11" s="1395"/>
      <c r="Y11" s="1395"/>
      <c r="Z11" s="1395"/>
      <c r="AA11" s="1395"/>
      <c r="AB11" s="1396"/>
      <c r="AC11" s="2331"/>
      <c r="AD11" s="2150"/>
      <c r="AE11" s="2331"/>
      <c r="AF11" s="2150"/>
      <c r="AG11" s="1395"/>
      <c r="AH11" s="1395"/>
      <c r="AI11" s="1395"/>
      <c r="AJ11" s="1395"/>
      <c r="AK11" s="1396"/>
      <c r="AL11" s="2331"/>
      <c r="AM11" s="2150"/>
      <c r="AN11" s="2331"/>
      <c r="AO11" s="2150"/>
      <c r="AP11" s="1397"/>
      <c r="AQ11" s="2308"/>
      <c r="AS11" s="502"/>
      <c r="AT11" s="502"/>
      <c r="AU11" s="502"/>
      <c r="AV11" s="502"/>
      <c r="AW11" s="1157">
        <v>0</v>
      </c>
    </row>
    <row customHeight="1" ht="15" hidden="1">
      <c r="A12" s="1269"/>
      <c r="B12" s="1269"/>
      <c r="C12" s="1269"/>
      <c r="D12" s="1269"/>
      <c r="E12" s="2313"/>
      <c r="F12" s="2313"/>
      <c r="G12" s="2313"/>
      <c r="H12" s="2313"/>
      <c r="I12" s="2124"/>
      <c r="J12" s="2140"/>
      <c r="K12" s="1269"/>
      <c r="L12" s="1269"/>
      <c r="M12" s="1312"/>
      <c r="N12" s="511"/>
      <c r="O12" s="329"/>
      <c r="Q12" s="2281"/>
      <c r="R12" s="2281"/>
      <c r="S12" s="1333"/>
      <c r="T12" s="358"/>
      <c r="U12" s="1280"/>
      <c r="V12" s="289" t="s">
        <v>406</v>
      </c>
      <c r="W12" s="369"/>
      <c r="X12" s="369"/>
      <c r="Y12" s="369"/>
      <c r="Z12" s="369"/>
      <c r="AA12" s="369"/>
      <c r="AB12" s="369"/>
      <c r="AC12" s="1410"/>
      <c r="AD12" s="1410"/>
      <c r="AE12" s="1410"/>
      <c r="AF12" s="1410"/>
      <c r="AG12" s="369"/>
      <c r="AH12" s="369"/>
      <c r="AI12" s="369"/>
      <c r="AJ12" s="369"/>
      <c r="AK12" s="369"/>
      <c r="AL12" s="369"/>
      <c r="AM12" s="369"/>
      <c r="AN12" s="369"/>
      <c r="AO12" s="369"/>
      <c r="AP12" s="326"/>
      <c r="AQ12" s="2309"/>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313"/>
      <c r="F13" s="2313"/>
      <c r="G13" s="2313"/>
      <c r="H13" s="2313"/>
      <c r="I13" s="2140"/>
      <c r="J13" s="1269"/>
      <c r="K13" s="1269"/>
      <c r="L13" s="1269"/>
      <c r="M13" s="1312"/>
      <c r="N13" s="511"/>
      <c r="Q13" s="2281"/>
      <c r="R13" s="1333"/>
      <c r="S13" s="1333"/>
      <c r="T13" s="358"/>
      <c r="U13" s="1280"/>
      <c r="V13" s="367" t="s">
        <v>407</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313"/>
      <c r="F14" s="2313"/>
      <c r="G14" s="2313"/>
      <c r="H14" s="2312"/>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313"/>
      <c r="F15" s="2313"/>
      <c r="G15" s="2312"/>
      <c r="H15" s="1376"/>
      <c r="I15" s="1376"/>
      <c r="J15" s="1376"/>
      <c r="K15" s="1376"/>
      <c r="L15" s="1376"/>
      <c r="M15" s="1379"/>
      <c r="N15" s="1380"/>
      <c r="O15" s="1380"/>
      <c r="P15" s="353"/>
      <c r="Q15" s="1318"/>
      <c r="R15" s="1319"/>
      <c r="S15" s="1318"/>
      <c r="T15" s="1318"/>
      <c r="U15" s="1320"/>
      <c r="V15" s="1321" t="s">
        <v>409</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313"/>
      <c r="F16" s="2312"/>
      <c r="G16" s="1376"/>
      <c r="H16" s="1376"/>
      <c r="I16" s="1376"/>
      <c r="J16" s="1376"/>
      <c r="K16" s="1376"/>
      <c r="L16" s="1376"/>
      <c r="M16" s="1379"/>
      <c r="N16" s="1381"/>
      <c r="O16" s="1381"/>
      <c r="P16" s="353"/>
      <c r="Q16" s="1318"/>
      <c r="R16" s="1319"/>
      <c r="S16" s="1318"/>
      <c r="T16" s="1318"/>
      <c r="U16" s="1324"/>
      <c r="V16" s="1325" t="s">
        <v>410</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312"/>
      <c r="F17" s="1376"/>
      <c r="G17" s="1376"/>
      <c r="H17" s="1376"/>
      <c r="I17" s="1376"/>
      <c r="J17" s="1376"/>
      <c r="K17" s="1376"/>
      <c r="L17" s="1376"/>
      <c r="M17" s="1379"/>
      <c r="N17" s="1381"/>
      <c r="O17" s="1381"/>
      <c r="P17" s="353"/>
      <c r="Q17" s="1318"/>
      <c r="R17" s="1319"/>
      <c r="S17" s="1318"/>
      <c r="T17" s="1318"/>
      <c r="U17" s="1324"/>
      <c r="V17" s="1327" t="s">
        <v>411</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75"/>
      <c r="AM19" s="2274" t="s">
        <v>65</v>
      </c>
      <c r="AN19" s="2275"/>
      <c r="AO19" s="2274" t="s">
        <v>65</v>
      </c>
      <c r="AW19" s="1157">
        <v>0</v>
      </c>
    </row>
    <row customHeight="1" ht="14.25" hidden="1">
      <c r="AG20" s="1362"/>
      <c r="AH20" s="1362"/>
      <c r="AI20" s="1362"/>
      <c r="AJ20" s="1362"/>
      <c r="AK20" s="1363"/>
      <c r="AL20" s="2275"/>
      <c r="AM20" s="2274"/>
      <c r="AN20" s="2275"/>
      <c r="AO20" s="2274"/>
      <c r="AW20" s="1157">
        <v>0</v>
      </c>
    </row>
    <row customHeight="1" ht="14.25" hidden="1">
      <c r="AG21" s="1362"/>
      <c r="AH21" s="1362"/>
      <c r="AI21" s="1362"/>
      <c r="AJ21" s="1362"/>
      <c r="AK21" s="1363"/>
      <c r="AL21" s="2275"/>
      <c r="AM21" s="2274"/>
      <c r="AN21" s="2275"/>
      <c r="AO21" s="2274"/>
      <c r="AW21" s="1157">
        <v>0</v>
      </c>
    </row>
    <row customHeight="1" ht="14.25" hidden="1">
      <c r="AG22" s="1362"/>
      <c r="AH22" s="1362"/>
      <c r="AI22" s="1362"/>
      <c r="AJ22" s="1362"/>
      <c r="AK22" s="330" t="str">
        <f>AL19&amp;"-"&amp;AN19</f>
        <v>-</v>
      </c>
      <c r="AL22" s="2274"/>
      <c r="AM22" s="2274"/>
      <c r="AN22" s="2274"/>
      <c r="AO22" s="2274"/>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412</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413</v>
      </c>
      <c r="Q26" s="1364"/>
      <c r="R26" s="1373"/>
      <c r="S26" s="1373"/>
      <c r="T26" s="1373"/>
      <c r="U26" s="731"/>
      <c r="V26" s="1162" t="s">
        <v>414</v>
      </c>
      <c r="AD26" s="188" t="s">
        <v>415</v>
      </c>
      <c r="AF26" s="188" t="s">
        <v>416</v>
      </c>
      <c r="AG26" s="1162" t="s">
        <v>414</v>
      </c>
      <c r="AM26" s="188" t="s">
        <v>417</v>
      </c>
      <c r="AO26" s="188" t="s">
        <v>416</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31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10"/>
      <c r="W30" s="2310"/>
      <c r="X30" s="2310"/>
      <c r="Y30" s="2310"/>
      <c r="Z30" s="2310"/>
      <c r="AA30" s="2310"/>
      <c r="AB30" s="2310"/>
      <c r="AC30" s="2310"/>
      <c r="AD30" s="2310"/>
      <c r="AE30" s="2310"/>
      <c r="AF30" s="2310"/>
      <c r="AG30" s="2310"/>
      <c r="AH30" s="2310"/>
      <c r="AI30" s="2310"/>
      <c r="AJ30" s="2310"/>
      <c r="AK30" s="2310"/>
      <c r="AL30" s="2310"/>
      <c r="AM30" s="2310"/>
      <c r="AN30" s="2310"/>
      <c r="AO30" s="1245"/>
      <c r="AW30" s="1157">
        <v>54</v>
      </c>
    </row>
    <row customHeight="1" ht="14.699999999999998">
      <c r="R31" s="378"/>
      <c r="S31" s="378"/>
      <c r="T31" s="378"/>
      <c r="U31" s="2311" t="str">
        <f>IF(org=0,"Не определено",org)</f>
        <v>Муниципальное унитарное предприятие "Невельские коммунальные сети"</v>
      </c>
      <c r="V31" s="2311"/>
      <c r="W31" s="2311"/>
      <c r="X31" s="2311"/>
      <c r="Y31" s="2311"/>
      <c r="Z31" s="2311"/>
      <c r="AA31" s="2311"/>
      <c r="AB31" s="2311"/>
      <c r="AC31" s="2311"/>
      <c r="AD31" s="2311"/>
      <c r="AE31" s="2311"/>
      <c r="AF31" s="2311"/>
      <c r="AG31" s="2311"/>
      <c r="AH31" s="2311"/>
      <c r="AI31" s="2311"/>
      <c r="AJ31" s="2311"/>
      <c r="AK31" s="2311"/>
      <c r="AL31" s="2311"/>
      <c r="AM31" s="2311"/>
      <c r="AN31" s="231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2" customFormat="1" customHeight="1" ht="25.5" hidden="1">
      <c r="A33" s="1250"/>
      <c r="B33" s="1250"/>
      <c r="C33" s="1250"/>
      <c r="D33" s="1250"/>
      <c r="E33" s="1250"/>
      <c r="F33" s="1250"/>
      <c r="G33" s="1250"/>
      <c r="H33" s="1250"/>
      <c r="I33" s="1250"/>
      <c r="J33" s="1250"/>
      <c r="K33" s="1250"/>
      <c r="L33" s="1250"/>
      <c r="M33" s="1382"/>
      <c r="N33" s="1250"/>
      <c r="O33" s="1250"/>
      <c r="P33" s="1250"/>
      <c r="U33"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68"/>
      <c r="W33" s="1374"/>
      <c r="X33" s="2270" t="str">
        <f>IF(TITLE_NAME_OR_PR_CHANGE="",IF(TITLE_NAME_OR_PR="","",TITLE_NAME_OR_PR),TITLE_NAME_OR_PR_CHANGE)</f>
        <v/>
      </c>
      <c r="Y33" s="2270"/>
      <c r="Z33" s="2270"/>
      <c r="AA33" s="2270"/>
      <c r="AB33" s="2270"/>
      <c r="AC33" s="2270"/>
      <c r="AD33" s="2270"/>
      <c r="AE33" s="2270"/>
      <c r="AF33" s="328"/>
      <c r="AG33" s="2270" t="str">
        <f>IF(TITLE_NAME_OR_PR_CHANGE="",IF(TITLE_NAME_OR_PR="","",TITLE_NAME_OR_PR),TITLE_NAME_OR_PR_CHANGE)</f>
        <v/>
      </c>
      <c r="AH33" s="2270"/>
      <c r="AI33" s="2270"/>
      <c r="AJ33" s="2270"/>
      <c r="AK33" s="2270"/>
      <c r="AL33" s="2270"/>
      <c r="AM33" s="2270"/>
      <c r="AN33" s="2270"/>
      <c r="AO33" s="328"/>
      <c r="AP33" s="328"/>
      <c r="AQ33" s="282"/>
      <c r="AR33" s="370"/>
      <c r="AS33" s="370"/>
      <c r="AT33" s="370"/>
      <c r="AU33" s="370"/>
      <c r="AV33" s="370"/>
      <c r="AW33" s="420">
        <v>0</v>
      </c>
    </row>
    <row s="1852" customFormat="1" customHeight="1" ht="18.75" hidden="1">
      <c r="A34" s="1250"/>
      <c r="B34" s="1250"/>
      <c r="C34" s="1250"/>
      <c r="D34" s="1250"/>
      <c r="E34" s="1250"/>
      <c r="F34" s="1250"/>
      <c r="G34" s="1250"/>
      <c r="H34" s="1250"/>
      <c r="I34" s="1250"/>
      <c r="J34" s="1250"/>
      <c r="K34" s="1250"/>
      <c r="L34" s="1250"/>
      <c r="M34" s="1382"/>
      <c r="N34" s="1250"/>
      <c r="O34" s="1250"/>
      <c r="P34" s="1250"/>
      <c r="U34" s="2268" t="str">
        <f>"Дата документа об "&amp;IF(TITLE_DATE_PR_CHANGE="","утверждении","изменении")&amp;" тарифов"</f>
        <v>Дата документа об утверждении тарифов</v>
      </c>
      <c r="V34" s="2268"/>
      <c r="W34" s="1374"/>
      <c r="X34" s="2269" t="str">
        <f>IF(TITLE_DATE_PR_CHANGE="",IF(TITLE_DATE_PR="","",TITLE_DATE_PR),TITLE_DATE_PR_CHANGE)</f>
        <v/>
      </c>
      <c r="Y34" s="2269"/>
      <c r="Z34" s="2269"/>
      <c r="AA34" s="2269"/>
      <c r="AB34" s="2269"/>
      <c r="AC34" s="2269"/>
      <c r="AD34" s="2269"/>
      <c r="AE34" s="2269"/>
      <c r="AF34" s="328"/>
      <c r="AG34" s="2269" t="str">
        <f>IF(TITLE_DATE_PR_CHANGE="",IF(TITLE_DATE_PR="","",TITLE_DATE_PR),TITLE_DATE_PR_CHANGE)</f>
        <v/>
      </c>
      <c r="AH34" s="2269"/>
      <c r="AI34" s="2269"/>
      <c r="AJ34" s="2269"/>
      <c r="AK34" s="2269"/>
      <c r="AL34" s="2269"/>
      <c r="AM34" s="2269"/>
      <c r="AN34" s="2269"/>
      <c r="AO34" s="328"/>
      <c r="AP34" s="328"/>
      <c r="AQ34" s="282"/>
      <c r="AR34" s="370"/>
      <c r="AS34" s="370"/>
      <c r="AT34" s="370"/>
      <c r="AU34" s="370"/>
      <c r="AV34" s="370"/>
      <c r="AW34" s="420">
        <v>0</v>
      </c>
    </row>
    <row s="1852" customFormat="1" customHeight="1" ht="18.75" hidden="1">
      <c r="A35" s="1250"/>
      <c r="B35" s="1250"/>
      <c r="C35" s="1250"/>
      <c r="D35" s="1250"/>
      <c r="E35" s="1250"/>
      <c r="F35" s="1250"/>
      <c r="G35" s="1250"/>
      <c r="H35" s="1250"/>
      <c r="I35" s="1250"/>
      <c r="J35" s="1250"/>
      <c r="K35" s="1250"/>
      <c r="L35" s="1250"/>
      <c r="M35" s="1382"/>
      <c r="N35" s="1250"/>
      <c r="O35" s="1250"/>
      <c r="P35" s="1250"/>
      <c r="U35" s="2268" t="str">
        <f>"Номер документа об "&amp;IF(TITLE_DATE_PR_CHANGE="","утверждении","изменении")&amp;" тарифов"</f>
        <v>Номер документа об утверждении тарифов</v>
      </c>
      <c r="V35" s="2268"/>
      <c r="W35" s="1374"/>
      <c r="X35" s="2270" t="str">
        <f>IF(TITLE_NUMBER_PR_CHANGE="",IF(TITLE_NUMBER_PR="","",TITLE_NUMBER_PR),TITLE_NUMBER_PR_CHANGE)</f>
        <v/>
      </c>
      <c r="Y35" s="2270"/>
      <c r="Z35" s="2270"/>
      <c r="AA35" s="2270"/>
      <c r="AB35" s="2270"/>
      <c r="AC35" s="2270"/>
      <c r="AD35" s="2270"/>
      <c r="AE35" s="2270"/>
      <c r="AF35" s="328"/>
      <c r="AG35" s="2270" t="str">
        <f>IF(TITLE_NUMBER_PR_CHANGE="",IF(TITLE_NUMBER_PR="","",TITLE_NUMBER_PR),TITLE_NUMBER_PR_CHANGE)</f>
        <v/>
      </c>
      <c r="AH35" s="2270"/>
      <c r="AI35" s="2270"/>
      <c r="AJ35" s="2270"/>
      <c r="AK35" s="2270"/>
      <c r="AL35" s="2270"/>
      <c r="AM35" s="2270"/>
      <c r="AN35" s="2270"/>
      <c r="AO35" s="328"/>
      <c r="AP35" s="328"/>
      <c r="AQ35" s="282"/>
      <c r="AR35" s="370"/>
      <c r="AS35" s="370"/>
      <c r="AT35" s="370"/>
      <c r="AU35" s="370"/>
      <c r="AV35" s="370"/>
      <c r="AW35" s="420">
        <v>0</v>
      </c>
    </row>
    <row s="1852" customFormat="1" customHeight="1" ht="18.75" hidden="1">
      <c r="A36" s="1250"/>
      <c r="B36" s="1250"/>
      <c r="C36" s="1250"/>
      <c r="D36" s="1250"/>
      <c r="E36" s="1250"/>
      <c r="F36" s="1250"/>
      <c r="G36" s="1250"/>
      <c r="H36" s="1250"/>
      <c r="I36" s="1250"/>
      <c r="J36" s="1250"/>
      <c r="K36" s="1250"/>
      <c r="L36" s="1250"/>
      <c r="M36" s="1382"/>
      <c r="N36" s="1250"/>
      <c r="O36" s="1250"/>
      <c r="P36" s="1250"/>
      <c r="U36" s="2268" t="s">
        <v>43</v>
      </c>
      <c r="V36" s="2268"/>
      <c r="W36" s="1374"/>
      <c r="X36" s="2270" t="str">
        <f>IF(TITLE_IST_PUB_CHANGE="",IF(TITLE_IST_PUB="","",TITLE_IST_PUB),TITLE_IST_PUB_CHANGE)</f>
        <v/>
      </c>
      <c r="Y36" s="2270"/>
      <c r="Z36" s="2270"/>
      <c r="AA36" s="2270"/>
      <c r="AB36" s="2270"/>
      <c r="AC36" s="2270"/>
      <c r="AD36" s="2270"/>
      <c r="AE36" s="2270"/>
      <c r="AF36" s="328"/>
      <c r="AG36" s="2270" t="str">
        <f>IF(TITLE_IST_PUB_CHANGE="",IF(TITLE_IST_PUB="","",TITLE_IST_PUB),TITLE_IST_PUB_CHANGE)</f>
        <v/>
      </c>
      <c r="AH36" s="2270"/>
      <c r="AI36" s="2270"/>
      <c r="AJ36" s="2270"/>
      <c r="AK36" s="2270"/>
      <c r="AL36" s="2270"/>
      <c r="AM36" s="2270"/>
      <c r="AN36" s="2270"/>
      <c r="AO36" s="328"/>
      <c r="AP36" s="328"/>
      <c r="AQ36" s="282"/>
      <c r="AR36" s="370"/>
      <c r="AS36" s="370"/>
      <c r="AT36" s="370"/>
      <c r="AU36" s="370"/>
      <c r="AV36" s="370"/>
      <c r="AW36" s="420">
        <v>0</v>
      </c>
    </row>
    <row customHeight="1" ht="14.25" hidden="1">
      <c r="R37" s="378"/>
      <c r="S37" s="378"/>
      <c r="T37" s="378"/>
      <c r="U37" s="1277"/>
      <c r="V37" s="459"/>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2" customFormat="1" customHeight="1" ht="18.75" hidden="1">
      <c r="A38" s="1250"/>
      <c r="B38" s="1250"/>
      <c r="C38" s="1250"/>
      <c r="D38" s="1250"/>
      <c r="E38" s="1250"/>
      <c r="F38" s="1250"/>
      <c r="G38" s="1250"/>
      <c r="H38" s="1250"/>
      <c r="I38" s="1250"/>
      <c r="J38" s="1250"/>
      <c r="K38" s="1250"/>
      <c r="L38" s="1250"/>
      <c r="M38" s="1382"/>
      <c r="N38" s="1250"/>
      <c r="O38" s="1250"/>
      <c r="P38" s="1250"/>
      <c r="U38" s="2268" t="str">
        <f>"Дата подачи заявления об "&amp;IF(TITLE_DATE_PR_CHANGE="","утверждении","изменении")&amp;" тарифов"</f>
        <v>Дата подачи заявления об утверждении тарифов</v>
      </c>
      <c r="V38" s="2268"/>
      <c r="W38" s="1374"/>
      <c r="X38" s="2269" t="str">
        <f>IF(TITLE_DATE_PR_CHANGE="",IF(TITLE_DATE_PR="","",TITLE_DATE_PR),TITLE_DATE_PR_CHANGE)</f>
        <v/>
      </c>
      <c r="Y38" s="2269"/>
      <c r="Z38" s="2269"/>
      <c r="AA38" s="2269"/>
      <c r="AB38" s="2269"/>
      <c r="AC38" s="2269"/>
      <c r="AD38" s="2269"/>
      <c r="AE38" s="2269"/>
      <c r="AF38" s="328"/>
      <c r="AG38" s="2269" t="str">
        <f>IF(TITLE_DATE_PR_CHANGE="",IF(TITLE_DATE_PR="","",TITLE_DATE_PR),TITLE_DATE_PR_CHANGE)</f>
        <v/>
      </c>
      <c r="AH38" s="2269"/>
      <c r="AI38" s="2269"/>
      <c r="AJ38" s="2269"/>
      <c r="AK38" s="2269"/>
      <c r="AL38" s="2269"/>
      <c r="AM38" s="2269"/>
      <c r="AN38" s="2269"/>
      <c r="AO38" s="328"/>
      <c r="AP38" s="328"/>
      <c r="AQ38" s="282"/>
      <c r="AR38" s="370"/>
      <c r="AS38" s="370"/>
      <c r="AT38" s="370"/>
      <c r="AU38" s="370"/>
      <c r="AV38" s="370"/>
      <c r="AW38" s="420">
        <v>0</v>
      </c>
    </row>
    <row s="1852" customFormat="1" customHeight="1" ht="18.75" hidden="1">
      <c r="A39" s="1250"/>
      <c r="B39" s="1250"/>
      <c r="C39" s="1250"/>
      <c r="D39" s="1250"/>
      <c r="E39" s="1250"/>
      <c r="F39" s="1250"/>
      <c r="G39" s="1250"/>
      <c r="H39" s="1250"/>
      <c r="I39" s="1250"/>
      <c r="J39" s="1250"/>
      <c r="K39" s="1250"/>
      <c r="L39" s="1250"/>
      <c r="M39" s="1382"/>
      <c r="N39" s="1250"/>
      <c r="O39" s="1250"/>
      <c r="P39" s="1250"/>
      <c r="U39" s="2268" t="str">
        <f>"Номер подачи заявления об "&amp;IF(TITLE_DATE_PR_CHANGE="","утверждении","изменении")&amp;" тарифов"</f>
        <v>Номер подачи заявления об утверждении тарифов</v>
      </c>
      <c r="V39" s="2268"/>
      <c r="W39" s="1374"/>
      <c r="X39" s="2270" t="str">
        <f>IF(TITLE_NUMBER_PR_CHANGE="",IF(TITLE_NUMBER_PR="","",TITLE_NUMBER_PR),TITLE_NUMBER_PR_CHANGE)</f>
        <v/>
      </c>
      <c r="Y39" s="2270"/>
      <c r="Z39" s="2270"/>
      <c r="AA39" s="2270"/>
      <c r="AB39" s="2270"/>
      <c r="AC39" s="2270"/>
      <c r="AD39" s="2270"/>
      <c r="AE39" s="2270"/>
      <c r="AF39" s="328"/>
      <c r="AG39" s="2270" t="str">
        <f>IF(TITLE_NUMBER_PR_CHANGE="",IF(TITLE_NUMBER_PR="","",TITLE_NUMBER_PR),TITLE_NUMBER_PR_CHANGE)</f>
        <v/>
      </c>
      <c r="AH39" s="2270"/>
      <c r="AI39" s="2270"/>
      <c r="AJ39" s="2270"/>
      <c r="AK39" s="2270"/>
      <c r="AL39" s="2270"/>
      <c r="AM39" s="2270"/>
      <c r="AN39" s="2270"/>
      <c r="AO39" s="328"/>
      <c r="AP39" s="328"/>
      <c r="AQ39" s="282"/>
      <c r="AR39" s="370"/>
      <c r="AS39" s="370"/>
      <c r="AT39" s="370"/>
      <c r="AU39" s="370"/>
      <c r="AV39" s="370"/>
      <c r="AW39" s="420">
        <v>0</v>
      </c>
    </row>
    <row s="1852"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418</v>
      </c>
      <c r="AG40" s="328"/>
      <c r="AH40" s="328"/>
      <c r="AI40" s="328"/>
      <c r="AJ40" s="328"/>
      <c r="AK40" s="328"/>
      <c r="AL40" s="328"/>
      <c r="AM40" s="328"/>
      <c r="AN40" s="328"/>
      <c r="AO40" s="280" t="s">
        <v>418</v>
      </c>
      <c r="AR40" s="370"/>
      <c r="AS40" s="370"/>
      <c r="AT40" s="370"/>
      <c r="AU40" s="370"/>
      <c r="AV40" s="370"/>
      <c r="AW40" s="420">
        <v>0</v>
      </c>
    </row>
    <row customHeight="1" ht="14.699999999999998">
      <c r="R41" s="378"/>
      <c r="S41" s="378"/>
      <c r="T41" s="378"/>
      <c r="U41" s="1277"/>
      <c r="V41" s="365"/>
      <c r="W41" s="1246"/>
      <c r="X41" s="2294"/>
      <c r="Y41" s="2294"/>
      <c r="Z41" s="2294"/>
      <c r="AA41" s="2294"/>
      <c r="AB41" s="2294"/>
      <c r="AC41" s="2294"/>
      <c r="AD41" s="2294"/>
      <c r="AE41" s="2294"/>
      <c r="AF41" s="2294"/>
      <c r="AG41" s="2294"/>
      <c r="AH41" s="2294"/>
      <c r="AI41" s="2294"/>
      <c r="AJ41" s="2294"/>
      <c r="AK41" s="2294"/>
      <c r="AL41" s="2294"/>
      <c r="AM41" s="2294"/>
      <c r="AN41" s="2294"/>
      <c r="AO41" s="2294"/>
      <c r="AW41" s="1157">
        <v>14</v>
      </c>
    </row>
    <row customHeight="1" ht="14.699999999999998">
      <c r="R42" s="378"/>
      <c r="S42" s="378"/>
      <c r="T42" s="378"/>
      <c r="U42" s="2140" t="s">
        <v>295</v>
      </c>
      <c r="V42" s="2140"/>
      <c r="W42" s="2140"/>
      <c r="X42" s="2140"/>
      <c r="Y42" s="2140"/>
      <c r="Z42" s="2140"/>
      <c r="AA42" s="2140"/>
      <c r="AB42" s="2140"/>
      <c r="AC42" s="2140"/>
      <c r="AD42" s="2140"/>
      <c r="AE42" s="2140"/>
      <c r="AF42" s="2140"/>
      <c r="AG42" s="2140"/>
      <c r="AH42" s="2140"/>
      <c r="AI42" s="2140"/>
      <c r="AJ42" s="2140"/>
      <c r="AK42" s="2140"/>
      <c r="AL42" s="2140"/>
      <c r="AM42" s="2140"/>
      <c r="AN42" s="2140"/>
      <c r="AO42" s="2140"/>
      <c r="AP42" s="2140"/>
      <c r="AQ42" s="2140" t="s">
        <v>296</v>
      </c>
      <c r="AW42" s="1157">
        <v>14</v>
      </c>
    </row>
    <row customHeight="1" ht="14.699999999999998">
      <c r="R43" s="378"/>
      <c r="S43" s="378"/>
      <c r="T43" s="378"/>
      <c r="U43" s="2295" t="s">
        <v>88</v>
      </c>
      <c r="V43" s="2232" t="s">
        <v>419</v>
      </c>
      <c r="W43" s="303"/>
      <c r="X43" s="2296" t="s">
        <v>420</v>
      </c>
      <c r="Y43" s="2318"/>
      <c r="Z43" s="2318"/>
      <c r="AA43" s="2318"/>
      <c r="AB43" s="2318"/>
      <c r="AC43" s="2297"/>
      <c r="AD43" s="2297"/>
      <c r="AE43" s="2298"/>
      <c r="AF43" s="2299" t="s">
        <v>421</v>
      </c>
      <c r="AG43" s="2296" t="s">
        <v>420</v>
      </c>
      <c r="AH43" s="2318"/>
      <c r="AI43" s="2318"/>
      <c r="AJ43" s="2318"/>
      <c r="AK43" s="2318"/>
      <c r="AL43" s="2297"/>
      <c r="AM43" s="2297"/>
      <c r="AN43" s="2298"/>
      <c r="AO43" s="2299" t="s">
        <v>422</v>
      </c>
      <c r="AP43" s="2302" t="s">
        <v>423</v>
      </c>
      <c r="AQ43" s="2140"/>
      <c r="AW43" s="1157">
        <v>14</v>
      </c>
    </row>
    <row customHeight="1" ht="35.699999999999996">
      <c r="R44" s="378"/>
      <c r="S44" s="378"/>
      <c r="T44" s="378"/>
      <c r="U44" s="2295"/>
      <c r="V44" s="2232"/>
      <c r="W44" s="1033"/>
      <c r="X44" s="2316" t="s">
        <v>446</v>
      </c>
      <c r="Y44" s="2332" t="s">
        <v>447</v>
      </c>
      <c r="Z44" s="2332"/>
      <c r="AA44" s="2332"/>
      <c r="AB44" s="2332"/>
      <c r="AC44" s="2316" t="s">
        <v>427</v>
      </c>
      <c r="AD44" s="2636"/>
      <c r="AE44" s="2342"/>
      <c r="AF44" s="2300"/>
      <c r="AG44" s="2316" t="s">
        <v>446</v>
      </c>
      <c r="AH44" s="2332" t="s">
        <v>447</v>
      </c>
      <c r="AI44" s="2332"/>
      <c r="AJ44" s="2332"/>
      <c r="AK44" s="2332"/>
      <c r="AL44" s="2316" t="s">
        <v>427</v>
      </c>
      <c r="AM44" s="2636"/>
      <c r="AN44" s="2342"/>
      <c r="AO44" s="2300"/>
      <c r="AP44" s="2303"/>
      <c r="AQ44" s="2140"/>
      <c r="AW44" s="1157">
        <v>34</v>
      </c>
    </row>
    <row customHeight="1" ht="14.699999999999998">
      <c r="R45" s="378"/>
      <c r="S45" s="378"/>
      <c r="T45" s="378"/>
      <c r="U45" s="2295"/>
      <c r="V45" s="2232"/>
      <c r="W45" s="1033"/>
      <c r="X45" s="2345"/>
      <c r="Y45" s="2333" t="s">
        <v>448</v>
      </c>
      <c r="Z45" s="2291" t="s">
        <v>449</v>
      </c>
      <c r="AA45" s="2336"/>
      <c r="AB45" s="2292"/>
      <c r="AC45" s="2317"/>
      <c r="AD45" s="2637"/>
      <c r="AE45" s="2344"/>
      <c r="AF45" s="2300"/>
      <c r="AG45" s="2345"/>
      <c r="AH45" s="2333" t="s">
        <v>448</v>
      </c>
      <c r="AI45" s="2291" t="s">
        <v>449</v>
      </c>
      <c r="AJ45" s="2336"/>
      <c r="AK45" s="2292"/>
      <c r="AL45" s="2317"/>
      <c r="AM45" s="2637"/>
      <c r="AN45" s="2344"/>
      <c r="AO45" s="2300"/>
      <c r="AP45" s="2303"/>
      <c r="AQ45" s="2140"/>
      <c r="AW45" s="1157">
        <v>14</v>
      </c>
    </row>
    <row customHeight="1" ht="27.299999999999997">
      <c r="R46" s="378"/>
      <c r="S46" s="378"/>
      <c r="T46" s="378"/>
      <c r="U46" s="2295"/>
      <c r="V46" s="2232"/>
      <c r="W46" s="1033"/>
      <c r="X46" s="2345"/>
      <c r="Y46" s="2334"/>
      <c r="Z46" s="2333" t="s">
        <v>450</v>
      </c>
      <c r="AA46" s="2291" t="s">
        <v>451</v>
      </c>
      <c r="AB46" s="2292"/>
      <c r="AC46" s="2333" t="s">
        <v>437</v>
      </c>
      <c r="AD46" s="2337" t="s">
        <v>438</v>
      </c>
      <c r="AE46" s="2338"/>
      <c r="AF46" s="2300"/>
      <c r="AG46" s="2345"/>
      <c r="AH46" s="2334"/>
      <c r="AI46" s="2333" t="s">
        <v>450</v>
      </c>
      <c r="AJ46" s="2291" t="s">
        <v>451</v>
      </c>
      <c r="AK46" s="2292"/>
      <c r="AL46" s="2333" t="s">
        <v>437</v>
      </c>
      <c r="AM46" s="2337" t="s">
        <v>438</v>
      </c>
      <c r="AN46" s="2338"/>
      <c r="AO46" s="2300"/>
      <c r="AP46" s="2303"/>
      <c r="AQ46" s="2140"/>
      <c r="AW46" s="1157">
        <v>26</v>
      </c>
    </row>
    <row customHeight="1" ht="65.25">
      <c r="A47" s="1261"/>
      <c r="B47" s="1261" t="s">
        <v>132</v>
      </c>
      <c r="C47" s="1261" t="s">
        <v>133</v>
      </c>
      <c r="D47" s="1261" t="s">
        <v>134</v>
      </c>
      <c r="E47" s="1312" t="s">
        <v>428</v>
      </c>
      <c r="F47" s="1312" t="s">
        <v>429</v>
      </c>
      <c r="G47" s="1312" t="s">
        <v>430</v>
      </c>
      <c r="H47" s="1312" t="s">
        <v>431</v>
      </c>
      <c r="I47" s="1312" t="s">
        <v>432</v>
      </c>
      <c r="J47" s="1312" t="s">
        <v>433</v>
      </c>
      <c r="K47" s="1312" t="s">
        <v>434</v>
      </c>
      <c r="L47" s="1312" t="s">
        <v>452</v>
      </c>
      <c r="M47" s="1312" t="s">
        <v>413</v>
      </c>
      <c r="R47" s="378"/>
      <c r="S47" s="378"/>
      <c r="T47" s="378"/>
      <c r="U47" s="2295"/>
      <c r="V47" s="2232"/>
      <c r="W47" s="304"/>
      <c r="X47" s="2317"/>
      <c r="Y47" s="2335"/>
      <c r="Z47" s="2335"/>
      <c r="AA47" s="1224" t="s">
        <v>453</v>
      </c>
      <c r="AB47" s="1224" t="s">
        <v>454</v>
      </c>
      <c r="AC47" s="2335"/>
      <c r="AD47" s="2339"/>
      <c r="AE47" s="2340"/>
      <c r="AF47" s="2301"/>
      <c r="AG47" s="2317"/>
      <c r="AH47" s="2335"/>
      <c r="AI47" s="2335"/>
      <c r="AJ47" s="1224" t="s">
        <v>453</v>
      </c>
      <c r="AK47" s="1224" t="s">
        <v>454</v>
      </c>
      <c r="AL47" s="2335"/>
      <c r="AM47" s="2339"/>
      <c r="AN47" s="2340"/>
      <c r="AO47" s="2301"/>
      <c r="AP47" s="2304"/>
      <c r="AQ47" s="2140"/>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106</v>
      </c>
      <c r="V48" s="1257" t="s">
        <v>107</v>
      </c>
      <c r="W48" s="1247" t="str">
        <f>OFFSET(W48,0,-1)</f>
        <v>2</v>
      </c>
      <c r="X48" s="1337">
        <f>OFFSET(X48,0,-1)+1</f>
        <v>3</v>
      </c>
      <c r="Y48" s="1343"/>
      <c r="Z48" s="1343"/>
      <c r="AA48" s="1343">
        <f>OFFSET(AA48,0,-1)+1</f>
        <v>1</v>
      </c>
      <c r="AB48" s="1343">
        <f>OFFSET(AB48,0,-1)+1</f>
        <v>2</v>
      </c>
      <c r="AC48" s="1337">
        <f>OFFSET(AC48,0,-1)+1</f>
        <v>3</v>
      </c>
      <c r="AD48" s="2293">
        <f>OFFSET(AD48,0,-1)+1</f>
        <v>4</v>
      </c>
      <c r="AE48" s="2293"/>
      <c r="AF48" s="1337">
        <f>OFFSET(AF48,0,-2)+1</f>
        <v>5</v>
      </c>
      <c r="AG48" s="1337">
        <f>OFFSET(AG48,0,-1)+1</f>
        <v>6</v>
      </c>
      <c r="AH48" s="1337"/>
      <c r="AI48" s="1337"/>
      <c r="AJ48" s="1337">
        <f>OFFSET(AJ48,0,-1)+1</f>
        <v>1</v>
      </c>
      <c r="AK48" s="1337">
        <f>OFFSET(AK48,0,-1)+1</f>
        <v>2</v>
      </c>
      <c r="AL48" s="1337">
        <f>OFFSET(AL48,0,-1)+1</f>
        <v>3</v>
      </c>
      <c r="AM48" s="2293">
        <f>OFFSET(AM48,0,-1)+1</f>
        <v>4</v>
      </c>
      <c r="AN48" s="2293"/>
      <c r="AO48" s="1337">
        <f>OFFSET(AO48,0,-2)+1</f>
        <v>5</v>
      </c>
      <c r="AP48" s="1247">
        <f>OFFSET(AP48,0,-1)</f>
        <v>5</v>
      </c>
      <c r="AQ48" s="1337">
        <f>OFFSET(AQ48,0,-1)+1</f>
        <v>6</v>
      </c>
      <c r="AR48" s="513"/>
      <c r="AS48" s="513"/>
      <c r="AT48" s="513"/>
      <c r="AU48" s="513"/>
      <c r="AV48" s="513"/>
      <c r="AW48" s="498">
        <v>0</v>
      </c>
    </row>
    <row customHeight="1" ht="22.049999999999997">
      <c r="A49" s="1269" t="s">
        <v>171</v>
      </c>
      <c r="B49" s="1269"/>
      <c r="C49" s="1269"/>
      <c r="D49" s="1269"/>
      <c r="E49" s="2312">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120</v>
      </c>
      <c r="W49" s="302"/>
      <c r="X49" s="2271"/>
      <c r="Y49" s="2272"/>
      <c r="Z49" s="2272"/>
      <c r="AA49" s="2272"/>
      <c r="AB49" s="2272"/>
      <c r="AC49" s="2272"/>
      <c r="AD49" s="2272"/>
      <c r="AE49" s="2272"/>
      <c r="AF49" s="2273"/>
      <c r="AG49" s="2271" t="str">
        <f>INDEX(PT_DIFFERENTIATION_NTAR,MATCH(A49,PT_DIFFERENTIATION_NTAR_ID,0))</f>
        <v/>
      </c>
      <c r="AH49" s="2272"/>
      <c r="AI49" s="2272"/>
      <c r="AJ49" s="2272"/>
      <c r="AK49" s="2272"/>
      <c r="AL49" s="2272"/>
      <c r="AM49" s="2272"/>
      <c r="AN49" s="2272"/>
      <c r="AO49" s="2272"/>
      <c r="AP49" s="2273"/>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171</v>
      </c>
      <c r="B50" s="1269" t="s">
        <v>172</v>
      </c>
      <c r="C50" s="1269"/>
      <c r="D50" s="1269"/>
      <c r="E50" s="2313"/>
      <c r="F50" s="2312">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392</v>
      </c>
      <c r="W50" s="302"/>
      <c r="X50" s="2271"/>
      <c r="Y50" s="2272"/>
      <c r="Z50" s="2272"/>
      <c r="AA50" s="2272"/>
      <c r="AB50" s="2272"/>
      <c r="AC50" s="2272"/>
      <c r="AD50" s="2272"/>
      <c r="AE50" s="2272"/>
      <c r="AF50" s="2273"/>
      <c r="AG50" s="2271" t="str">
        <f>INDEX(PT_DIFFERENTIATION_TER,MATCH(B50,PT_DIFFERENTIATION_TER_ID,0))</f>
        <v/>
      </c>
      <c r="AH50" s="2272"/>
      <c r="AI50" s="2272"/>
      <c r="AJ50" s="2272"/>
      <c r="AK50" s="2272"/>
      <c r="AL50" s="2272"/>
      <c r="AM50" s="2272"/>
      <c r="AN50" s="2272"/>
      <c r="AO50" s="2272"/>
      <c r="AP50" s="2273"/>
      <c r="AQ50" s="1260" t="s">
        <v>393</v>
      </c>
      <c r="AS50" s="502"/>
      <c r="AT50" s="502" t="str">
        <f>IF(V50="","",V50)</f>
        <v>Территория действия тарифа</v>
      </c>
      <c r="AU50" s="502"/>
      <c r="AV50" s="502"/>
      <c r="AW50" s="1157">
        <v>21</v>
      </c>
    </row>
    <row customHeight="1" ht="24">
      <c r="A51" s="1269" t="s">
        <v>171</v>
      </c>
      <c r="B51" s="1269" t="s">
        <v>172</v>
      </c>
      <c r="C51" s="1269" t="s">
        <v>173</v>
      </c>
      <c r="D51" s="1269"/>
      <c r="E51" s="2313"/>
      <c r="F51" s="2313"/>
      <c r="G51" s="2312">
        <v>1</v>
      </c>
      <c r="H51" s="1269"/>
      <c r="I51" s="1269"/>
      <c r="J51" s="1269"/>
      <c r="K51" s="1269"/>
      <c r="L51" s="1269"/>
      <c r="M51" s="1312"/>
      <c r="N51" s="690"/>
      <c r="O51" s="690"/>
      <c r="P51" s="690"/>
      <c r="Q51" s="356"/>
      <c r="R51" s="354"/>
      <c r="S51" s="511"/>
      <c r="T51" s="355"/>
      <c r="U51" s="1338" t="str">
        <f>INDEX(PT_DIFFERENTIATION_NUM_CS,MATCH(C51,PT_DIFFERENTIATION_CS_ID,0))</f>
        <v>..</v>
      </c>
      <c r="V51" s="311" t="s">
        <v>394</v>
      </c>
      <c r="W51" s="302"/>
      <c r="X51" s="2271"/>
      <c r="Y51" s="2272"/>
      <c r="Z51" s="2272"/>
      <c r="AA51" s="2272"/>
      <c r="AB51" s="2272"/>
      <c r="AC51" s="2272"/>
      <c r="AD51" s="2272"/>
      <c r="AE51" s="2272"/>
      <c r="AF51" s="2273"/>
      <c r="AG51" s="2271" t="str">
        <f>INDEX(PT_DIFFERENTIATION_CS,MATCH(C51,PT_DIFFERENTIATION_CS_ID,0))</f>
        <v/>
      </c>
      <c r="AH51" s="2272"/>
      <c r="AI51" s="2272"/>
      <c r="AJ51" s="2272"/>
      <c r="AK51" s="2272"/>
      <c r="AL51" s="2272"/>
      <c r="AM51" s="2272"/>
      <c r="AN51" s="2272"/>
      <c r="AO51" s="2272"/>
      <c r="AP51" s="2273"/>
      <c r="AQ51" s="1260" t="s">
        <v>395</v>
      </c>
      <c r="AS51" s="502"/>
      <c r="AT51" s="502" t="str">
        <f>IF(V51="","",V51)</f>
        <v>Наименование системы теплоснабжения </v>
      </c>
      <c r="AU51" s="502"/>
      <c r="AV51" s="502"/>
      <c r="AW51" s="1157">
        <v>23</v>
      </c>
    </row>
    <row customHeight="1" ht="22.049999999999997">
      <c r="A52" s="1269" t="s">
        <v>171</v>
      </c>
      <c r="B52" s="1269" t="s">
        <v>172</v>
      </c>
      <c r="C52" s="1269" t="s">
        <v>173</v>
      </c>
      <c r="D52" s="1269" t="s">
        <v>174</v>
      </c>
      <c r="E52" s="2313"/>
      <c r="F52" s="2313"/>
      <c r="G52" s="2313"/>
      <c r="H52" s="2346">
        <v>1</v>
      </c>
      <c r="I52" s="1269"/>
      <c r="J52" s="1269"/>
      <c r="K52" s="1269"/>
      <c r="L52" s="1269"/>
      <c r="M52" s="1312"/>
      <c r="N52" s="690"/>
      <c r="O52" s="690"/>
      <c r="P52" s="690"/>
      <c r="Q52" s="356"/>
      <c r="R52" s="354"/>
      <c r="S52" s="511"/>
      <c r="T52" s="355"/>
      <c r="U52" s="1338" t="str">
        <f>INDEX(PT_DIFFERENTIATION_NUM_IST_TE,MATCH(D52,PT_DIFFERENTIATION_IST_TE_ID,0))</f>
        <v>...</v>
      </c>
      <c r="V52" s="312" t="s">
        <v>396</v>
      </c>
      <c r="W52" s="302"/>
      <c r="X52" s="2271"/>
      <c r="Y52" s="2272"/>
      <c r="Z52" s="2272"/>
      <c r="AA52" s="2272"/>
      <c r="AB52" s="2272"/>
      <c r="AC52" s="2272"/>
      <c r="AD52" s="2272"/>
      <c r="AE52" s="2272"/>
      <c r="AF52" s="2273"/>
      <c r="AG52" s="2271" t="str">
        <f>INDEX(PT_DIFFERENTIATION_IST_TE,MATCH(D52,PT_DIFFERENTIATION_IST_TE_ID,0))</f>
        <v/>
      </c>
      <c r="AH52" s="2272"/>
      <c r="AI52" s="2272"/>
      <c r="AJ52" s="2272"/>
      <c r="AK52" s="2272"/>
      <c r="AL52" s="2272"/>
      <c r="AM52" s="2272"/>
      <c r="AN52" s="2272"/>
      <c r="AO52" s="2272"/>
      <c r="AP52" s="2273"/>
      <c r="AQ52" s="1260" t="s">
        <v>397</v>
      </c>
      <c r="AS52" s="502"/>
      <c r="AT52" s="502" t="str">
        <f>IF(V52="","",V52)</f>
        <v>Источник тепловой энергии  </v>
      </c>
      <c r="AU52" s="502"/>
      <c r="AV52" s="502"/>
      <c r="AW52" s="1157">
        <v>21</v>
      </c>
    </row>
    <row s="1644" customFormat="1" customHeight="1" ht="0">
      <c r="A53" s="1377" t="s">
        <v>171</v>
      </c>
      <c r="B53" s="1377" t="s">
        <v>172</v>
      </c>
      <c r="C53" s="1377" t="s">
        <v>173</v>
      </c>
      <c r="D53" s="1377" t="s">
        <v>174</v>
      </c>
      <c r="E53" s="2313"/>
      <c r="F53" s="2313"/>
      <c r="G53" s="2313"/>
      <c r="H53" s="2347"/>
      <c r="I53" s="2140" t="str">
        <f>U52&amp;".1"</f>
        <v>....1</v>
      </c>
      <c r="J53" s="1377"/>
      <c r="K53" s="1377"/>
      <c r="L53" s="1377"/>
      <c r="M53" s="1383" t="s">
        <v>398</v>
      </c>
      <c r="N53" s="1248"/>
      <c r="O53" s="1248"/>
      <c r="P53" s="1248"/>
      <c r="Q53" s="2281">
        <v>1</v>
      </c>
      <c r="R53" s="1333"/>
      <c r="S53" s="1333"/>
      <c r="T53" s="358"/>
      <c r="U53" s="1044"/>
      <c r="V53" s="1385"/>
      <c r="W53" s="1386"/>
      <c r="X53" s="2319"/>
      <c r="Y53" s="2320"/>
      <c r="Z53" s="2320"/>
      <c r="AA53" s="2320"/>
      <c r="AB53" s="2320"/>
      <c r="AC53" s="2320"/>
      <c r="AD53" s="2320"/>
      <c r="AE53" s="2320"/>
      <c r="AF53" s="2321"/>
      <c r="AG53" s="2319"/>
      <c r="AH53" s="2320"/>
      <c r="AI53" s="2320"/>
      <c r="AJ53" s="2320"/>
      <c r="AK53" s="2320"/>
      <c r="AL53" s="2320"/>
      <c r="AM53" s="2320"/>
      <c r="AN53" s="2320"/>
      <c r="AO53" s="2320"/>
      <c r="AP53" s="2321"/>
      <c r="AQ53" s="1387"/>
      <c r="AS53" s="502"/>
      <c r="AT53" s="502" t="str">
        <f>IF(V53="","",V53)</f>
        <v/>
      </c>
      <c r="AU53" s="502"/>
      <c r="AV53" s="502"/>
      <c r="AW53" s="513">
        <v>0</v>
      </c>
    </row>
    <row customHeight="1" ht="22.049999999999997">
      <c r="A54" s="1269" t="s">
        <v>171</v>
      </c>
      <c r="B54" s="1269" t="s">
        <v>172</v>
      </c>
      <c r="C54" s="1269" t="s">
        <v>173</v>
      </c>
      <c r="D54" s="1269" t="s">
        <v>174</v>
      </c>
      <c r="E54" s="2313"/>
      <c r="F54" s="2313"/>
      <c r="G54" s="2313"/>
      <c r="H54" s="2347"/>
      <c r="I54" s="2124"/>
      <c r="J54" s="2140" t="str">
        <f>I53&amp;".1"</f>
        <v>....1.1</v>
      </c>
      <c r="K54" s="1269"/>
      <c r="L54" s="1269"/>
      <c r="M54" s="1312" t="s">
        <v>401</v>
      </c>
      <c r="Q54" s="2281"/>
      <c r="R54" s="2281">
        <v>1</v>
      </c>
      <c r="S54" s="520"/>
      <c r="T54" s="359"/>
      <c r="U54" s="1338" t="str">
        <f>$J54</f>
        <v>....1.1</v>
      </c>
      <c r="V54" s="288" t="s">
        <v>402</v>
      </c>
      <c r="W54" s="302"/>
      <c r="X54" s="2265"/>
      <c r="Y54" s="2266"/>
      <c r="Z54" s="2266"/>
      <c r="AA54" s="2266"/>
      <c r="AB54" s="2266"/>
      <c r="AC54" s="2258"/>
      <c r="AD54" s="2258"/>
      <c r="AE54" s="2258"/>
      <c r="AF54" s="2348"/>
      <c r="AG54" s="2265"/>
      <c r="AH54" s="2266"/>
      <c r="AI54" s="2266"/>
      <c r="AJ54" s="2266"/>
      <c r="AK54" s="2266"/>
      <c r="AL54" s="2266"/>
      <c r="AM54" s="2266"/>
      <c r="AN54" s="2266"/>
      <c r="AO54" s="2266"/>
      <c r="AP54" s="2267"/>
      <c r="AQ54" s="1260" t="s">
        <v>403</v>
      </c>
      <c r="AS54" s="502"/>
      <c r="AT54" s="502" t="str">
        <f>IF(V54="","",V54)</f>
        <v>Группа потребителей</v>
      </c>
      <c r="AU54" s="502"/>
      <c r="AV54" s="502"/>
      <c r="AW54" s="1157">
        <v>21</v>
      </c>
    </row>
    <row customHeight="1" ht="22.049999999999997">
      <c r="A55" s="1269" t="s">
        <v>171</v>
      </c>
      <c r="B55" s="1269" t="s">
        <v>172</v>
      </c>
      <c r="C55" s="1269" t="s">
        <v>173</v>
      </c>
      <c r="D55" s="1269" t="s">
        <v>174</v>
      </c>
      <c r="E55" s="2313"/>
      <c r="F55" s="2313"/>
      <c r="G55" s="2313"/>
      <c r="H55" s="2347"/>
      <c r="I55" s="2124"/>
      <c r="J55" s="2124"/>
      <c r="K55" s="2140" t="str">
        <f>J54&amp;".1"</f>
        <v>....1.1.1</v>
      </c>
      <c r="L55" s="141"/>
      <c r="M55" s="1312" t="s">
        <v>404</v>
      </c>
      <c r="Q55" s="2281"/>
      <c r="R55" s="2281"/>
      <c r="S55" s="520">
        <v>1</v>
      </c>
      <c r="T55" s="359"/>
      <c r="U55" s="1338" t="str">
        <f>$K55</f>
        <v>....1.1.1</v>
      </c>
      <c r="V55" s="1349"/>
      <c r="W55" s="302"/>
      <c r="X55" s="753"/>
      <c r="Y55" s="753"/>
      <c r="Z55" s="753"/>
      <c r="AA55" s="753"/>
      <c r="AB55" s="1407"/>
      <c r="AC55" s="2282"/>
      <c r="AD55" s="2150" t="s">
        <v>65</v>
      </c>
      <c r="AE55" s="2282"/>
      <c r="AF55" s="2150" t="s">
        <v>65</v>
      </c>
      <c r="AG55" s="1409"/>
      <c r="AH55" s="753"/>
      <c r="AI55" s="753"/>
      <c r="AJ55" s="753"/>
      <c r="AK55" s="1259"/>
      <c r="AL55" s="2282"/>
      <c r="AM55" s="2150" t="s">
        <v>65</v>
      </c>
      <c r="AN55" s="2282"/>
      <c r="AO55" s="2150" t="s">
        <v>65</v>
      </c>
      <c r="AP55" s="1350"/>
      <c r="AQ55" s="1309" t="s">
        <v>443</v>
      </c>
      <c r="AR55" s="513">
        <f>STRCHECKDATE(X57:AP57)</f>
      </c>
      <c r="AS55" s="502"/>
      <c r="AT55" s="502" t="str">
        <f>IF(V55="","",V55)</f>
        <v/>
      </c>
      <c r="AU55" s="502"/>
      <c r="AV55" s="502"/>
      <c r="AW55" s="1157">
        <v>21</v>
      </c>
    </row>
    <row customHeight="1" ht="11.549999999999999">
      <c r="A56" s="1269" t="s">
        <v>171</v>
      </c>
      <c r="B56" s="1269" t="s">
        <v>172</v>
      </c>
      <c r="C56" s="1269" t="s">
        <v>173</v>
      </c>
      <c r="D56" s="1269" t="s">
        <v>174</v>
      </c>
      <c r="E56" s="2313"/>
      <c r="F56" s="2313"/>
      <c r="G56" s="2313"/>
      <c r="H56" s="2347"/>
      <c r="I56" s="2124"/>
      <c r="J56" s="2124"/>
      <c r="K56" s="2124"/>
      <c r="L56" s="2140" t="str">
        <f>K55&amp;".1"</f>
        <v>....1.1.1.1</v>
      </c>
      <c r="M56" s="1312"/>
      <c r="Q56" s="2281"/>
      <c r="R56" s="2281"/>
      <c r="S56" s="520">
        <v>1</v>
      </c>
      <c r="T56" s="359"/>
      <c r="U56" s="1338" t="str">
        <f>$L56</f>
        <v>....1.1.1.1</v>
      </c>
      <c r="V56" s="1393"/>
      <c r="W56" s="302"/>
      <c r="X56" s="327"/>
      <c r="Y56" s="753"/>
      <c r="Z56" s="753"/>
      <c r="AA56" s="753"/>
      <c r="AB56" s="1407"/>
      <c r="AC56" s="2331"/>
      <c r="AD56" s="2150"/>
      <c r="AE56" s="2331"/>
      <c r="AF56" s="2150"/>
      <c r="AG56" s="1409"/>
      <c r="AH56" s="753"/>
      <c r="AI56" s="753"/>
      <c r="AJ56" s="753"/>
      <c r="AK56" s="1259"/>
      <c r="AL56" s="2331"/>
      <c r="AM56" s="2150"/>
      <c r="AN56" s="2331"/>
      <c r="AO56" s="2150"/>
      <c r="AP56" s="1350"/>
      <c r="AQ56" s="2307" t="s">
        <v>444</v>
      </c>
      <c r="AR56" s="513">
        <f>STRCHECKDATE(X58:AP58)</f>
      </c>
      <c r="AS56" s="502"/>
      <c r="AT56" s="502" t="str">
        <f>IF(V56="","",V56)</f>
        <v/>
      </c>
      <c r="AU56" s="502"/>
      <c r="AV56" s="502"/>
      <c r="AW56" s="1157">
        <v>11</v>
      </c>
    </row>
    <row customHeight="1" ht="0">
      <c r="A57" s="1269" t="s">
        <v>171</v>
      </c>
      <c r="B57" s="1269" t="s">
        <v>172</v>
      </c>
      <c r="C57" s="1269" t="s">
        <v>173</v>
      </c>
      <c r="D57" s="1269" t="s">
        <v>174</v>
      </c>
      <c r="E57" s="2313"/>
      <c r="F57" s="2313"/>
      <c r="G57" s="2313"/>
      <c r="H57" s="2347"/>
      <c r="I57" s="2124"/>
      <c r="J57" s="2124"/>
      <c r="K57" s="2124"/>
      <c r="L57" s="2140"/>
      <c r="M57" s="1312"/>
      <c r="Q57" s="2281"/>
      <c r="R57" s="2281"/>
      <c r="S57" s="520"/>
      <c r="T57" s="359"/>
      <c r="U57" s="1344"/>
      <c r="V57" s="302"/>
      <c r="W57" s="302"/>
      <c r="X57" s="327"/>
      <c r="Y57" s="327"/>
      <c r="Z57" s="327"/>
      <c r="AA57" s="327"/>
      <c r="AB57" s="1408" t="str">
        <f>AC55&amp;"-"&amp;AE55</f>
        <v>-</v>
      </c>
      <c r="AC57" s="2331"/>
      <c r="AD57" s="2150"/>
      <c r="AE57" s="2331"/>
      <c r="AF57" s="2150"/>
      <c r="AG57" s="1384"/>
      <c r="AH57" s="327"/>
      <c r="AI57" s="327"/>
      <c r="AJ57" s="327"/>
      <c r="AK57" s="330" t="str">
        <f>AL55&amp;"-"&amp;AN55</f>
        <v>-</v>
      </c>
      <c r="AL57" s="2331"/>
      <c r="AM57" s="2150"/>
      <c r="AN57" s="2331"/>
      <c r="AO57" s="2150"/>
      <c r="AP57" s="1351"/>
      <c r="AQ57" s="2308"/>
      <c r="AS57" s="502"/>
      <c r="AT57" s="502" t="str">
        <f>IF(V57="","",V57)</f>
        <v/>
      </c>
      <c r="AU57" s="502"/>
      <c r="AV57" s="502"/>
      <c r="AW57" s="1157">
        <v>0</v>
      </c>
    </row>
    <row customHeight="1" ht="11.549999999999999">
      <c r="A58" s="1269" t="s">
        <v>171</v>
      </c>
      <c r="B58" s="1269" t="s">
        <v>172</v>
      </c>
      <c r="C58" s="1269" t="s">
        <v>173</v>
      </c>
      <c r="D58" s="1269" t="s">
        <v>174</v>
      </c>
      <c r="E58" s="2313"/>
      <c r="F58" s="2313"/>
      <c r="G58" s="2313"/>
      <c r="H58" s="2347"/>
      <c r="I58" s="2124"/>
      <c r="J58" s="2124"/>
      <c r="K58" s="2140"/>
      <c r="L58" s="1269"/>
      <c r="M58" s="1312"/>
      <c r="Q58" s="2281"/>
      <c r="R58" s="2281"/>
      <c r="S58" s="1333"/>
      <c r="T58" s="358"/>
      <c r="U58" s="1280"/>
      <c r="V58" s="290" t="s">
        <v>445</v>
      </c>
      <c r="W58" s="369"/>
      <c r="X58" s="369"/>
      <c r="Y58" s="369"/>
      <c r="Z58" s="369"/>
      <c r="AA58" s="369"/>
      <c r="AB58" s="369"/>
      <c r="AC58" s="2331"/>
      <c r="AD58" s="2150"/>
      <c r="AE58" s="2331"/>
      <c r="AF58" s="2150"/>
      <c r="AG58" s="369"/>
      <c r="AH58" s="369"/>
      <c r="AI58" s="369"/>
      <c r="AJ58" s="369"/>
      <c r="AK58" s="369"/>
      <c r="AL58" s="2331"/>
      <c r="AM58" s="2150"/>
      <c r="AN58" s="2331"/>
      <c r="AO58" s="2150"/>
      <c r="AP58" s="326"/>
      <c r="AQ58" s="2308"/>
      <c r="AS58" s="502"/>
      <c r="AT58" s="502" t="str">
        <f>IF(V58="","",V58)</f>
        <v>Добавить наименование поставщика</v>
      </c>
      <c r="AU58" s="502"/>
      <c r="AV58" s="502"/>
      <c r="AW58" s="1157">
        <v>11</v>
      </c>
    </row>
    <row customHeight="1" ht="11.549999999999999">
      <c r="A59" s="1269" t="s">
        <v>171</v>
      </c>
      <c r="B59" s="1269" t="s">
        <v>172</v>
      </c>
      <c r="C59" s="1269" t="s">
        <v>173</v>
      </c>
      <c r="D59" s="1269" t="s">
        <v>174</v>
      </c>
      <c r="E59" s="2313"/>
      <c r="F59" s="2313"/>
      <c r="G59" s="2313"/>
      <c r="H59" s="2347"/>
      <c r="I59" s="2124"/>
      <c r="J59" s="2140"/>
      <c r="K59" s="1269"/>
      <c r="L59" s="1269"/>
      <c r="M59" s="1312"/>
      <c r="Q59" s="2281"/>
      <c r="R59" s="2281"/>
      <c r="S59" s="1333"/>
      <c r="T59" s="358"/>
      <c r="U59" s="1280"/>
      <c r="V59" s="289" t="s">
        <v>406</v>
      </c>
      <c r="W59" s="369"/>
      <c r="X59" s="369"/>
      <c r="Y59" s="369"/>
      <c r="Z59" s="369"/>
      <c r="AA59" s="369"/>
      <c r="AB59" s="369"/>
      <c r="AC59" s="1410"/>
      <c r="AD59" s="1410"/>
      <c r="AE59" s="1410"/>
      <c r="AF59" s="1410"/>
      <c r="AG59" s="369"/>
      <c r="AH59" s="369"/>
      <c r="AI59" s="369"/>
      <c r="AJ59" s="369"/>
      <c r="AK59" s="369"/>
      <c r="AL59" s="369"/>
      <c r="AM59" s="369"/>
      <c r="AN59" s="369"/>
      <c r="AO59" s="369"/>
      <c r="AP59" s="326"/>
      <c r="AQ59" s="2309"/>
      <c r="AS59" s="502"/>
      <c r="AT59" s="502" t="str">
        <f>IF(V59="","",V59)</f>
        <v>Добавить вид теплоносителя (параметры теплоносителя)</v>
      </c>
      <c r="AU59" s="502"/>
      <c r="AV59" s="502"/>
      <c r="AW59" s="1157">
        <v>11</v>
      </c>
    </row>
    <row customHeight="1" ht="11.549999999999999">
      <c r="A60" s="1269" t="s">
        <v>171</v>
      </c>
      <c r="B60" s="1269" t="s">
        <v>172</v>
      </c>
      <c r="C60" s="1269" t="s">
        <v>173</v>
      </c>
      <c r="D60" s="1269" t="s">
        <v>174</v>
      </c>
      <c r="E60" s="2313"/>
      <c r="F60" s="2313"/>
      <c r="G60" s="2313"/>
      <c r="H60" s="2347"/>
      <c r="I60" s="2140"/>
      <c r="J60" s="1269"/>
      <c r="K60" s="1269"/>
      <c r="L60" s="1269"/>
      <c r="M60" s="1312"/>
      <c r="Q60" s="2281"/>
      <c r="R60" s="1333"/>
      <c r="S60" s="1333"/>
      <c r="T60" s="358"/>
      <c r="U60" s="1280"/>
      <c r="V60" s="367" t="s">
        <v>407</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171</v>
      </c>
      <c r="B61" s="1269" t="s">
        <v>172</v>
      </c>
      <c r="C61" s="1269" t="s">
        <v>173</v>
      </c>
      <c r="D61" s="1269" t="s">
        <v>174</v>
      </c>
      <c r="E61" s="2313"/>
      <c r="F61" s="2313"/>
      <c r="G61" s="2313"/>
      <c r="H61" s="2346"/>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171</v>
      </c>
      <c r="B62" s="1377" t="s">
        <v>172</v>
      </c>
      <c r="C62" s="1377" t="s">
        <v>173</v>
      </c>
      <c r="D62" s="1376"/>
      <c r="E62" s="2313"/>
      <c r="F62" s="2313"/>
      <c r="G62" s="2312"/>
      <c r="H62" s="1376"/>
      <c r="I62" s="1376"/>
      <c r="J62" s="1376"/>
      <c r="K62" s="1376"/>
      <c r="L62" s="1376"/>
      <c r="M62" s="1379"/>
      <c r="N62" s="1380"/>
      <c r="O62" s="1380"/>
      <c r="P62" s="353"/>
      <c r="Q62" s="1318"/>
      <c r="R62" s="1319"/>
      <c r="S62" s="1318"/>
      <c r="T62" s="1318"/>
      <c r="U62" s="1324"/>
      <c r="V62" s="1327" t="s">
        <v>409</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171</v>
      </c>
      <c r="B63" s="1377" t="s">
        <v>172</v>
      </c>
      <c r="C63" s="1376"/>
      <c r="D63" s="1376"/>
      <c r="E63" s="2313"/>
      <c r="F63" s="2312"/>
      <c r="G63" s="1376"/>
      <c r="H63" s="1376"/>
      <c r="I63" s="1376"/>
      <c r="J63" s="1376"/>
      <c r="K63" s="1376"/>
      <c r="L63" s="1376"/>
      <c r="M63" s="1379"/>
      <c r="N63" s="1381"/>
      <c r="O63" s="1381"/>
      <c r="P63" s="353"/>
      <c r="Q63" s="1318"/>
      <c r="R63" s="1319"/>
      <c r="S63" s="1318"/>
      <c r="T63" s="1318"/>
      <c r="U63" s="1324"/>
      <c r="V63" s="1327" t="s">
        <v>410</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171</v>
      </c>
      <c r="B64" s="1377"/>
      <c r="C64" s="1377"/>
      <c r="D64" s="1377"/>
      <c r="E64" s="2312"/>
      <c r="F64" s="1377"/>
      <c r="G64" s="1377"/>
      <c r="H64" s="1377"/>
      <c r="I64" s="1377"/>
      <c r="J64" s="1377"/>
      <c r="K64" s="1377"/>
      <c r="L64" s="1377"/>
      <c r="M64" s="1383"/>
      <c r="N64" s="1381"/>
      <c r="O64" s="1381"/>
      <c r="P64" s="353"/>
      <c r="Q64" s="382"/>
      <c r="R64" s="1346"/>
      <c r="S64" s="382"/>
      <c r="T64" s="382"/>
      <c r="U64" s="1324"/>
      <c r="V64" s="1327" t="s">
        <v>411</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439</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76"/>
      <c r="W67" s="2276"/>
      <c r="X67" s="2276"/>
      <c r="Y67" s="2276"/>
      <c r="Z67" s="2276"/>
      <c r="AA67" s="2276"/>
      <c r="AB67" s="2276"/>
      <c r="AC67" s="2276"/>
      <c r="AD67" s="2276"/>
      <c r="AE67" s="2276"/>
      <c r="AF67" s="2276"/>
      <c r="AG67" s="2276"/>
      <c r="AH67" s="2276"/>
      <c r="AI67" s="2276"/>
      <c r="AJ67" s="2276"/>
      <c r="AK67" s="2276"/>
      <c r="AL67" s="2276"/>
      <c r="AM67" s="2276"/>
      <c r="AN67" s="2276"/>
      <c r="AO67" s="2276"/>
      <c r="AP67" s="2276"/>
      <c r="AQ67" s="2276"/>
      <c r="AW67" s="1157">
        <v>34</v>
      </c>
    </row>
    <row customHeight="1" ht="21">
      <c r="P68" s="511"/>
      <c r="V68" s="2276"/>
      <c r="W68" s="2276"/>
      <c r="X68" s="2276"/>
      <c r="Y68" s="2276"/>
      <c r="Z68" s="2276"/>
      <c r="AA68" s="2276"/>
      <c r="AB68" s="2276"/>
      <c r="AC68" s="2276"/>
      <c r="AD68" s="2276"/>
      <c r="AE68" s="2276"/>
      <c r="AF68" s="2276"/>
      <c r="AG68" s="2276"/>
      <c r="AH68" s="2276"/>
      <c r="AI68" s="2276"/>
      <c r="AJ68" s="2276"/>
      <c r="AK68" s="2276"/>
      <c r="AL68" s="2276"/>
      <c r="AM68" s="2276"/>
      <c r="AN68" s="2276"/>
      <c r="AO68" s="2276"/>
      <c r="AP68" s="2276"/>
      <c r="AQ68" s="2276"/>
      <c r="AW68" s="1157">
        <v>20</v>
      </c>
    </row>
    <row customHeight="1" ht="14.699999999999998">
      <c r="P69" s="511"/>
      <c r="AW69" s="1157">
        <v>14</v>
      </c>
    </row>
    <row customHeight="1" ht="28.5">
      <c r="P70" s="511"/>
      <c r="V70" s="2276"/>
      <c r="W70" s="2276"/>
      <c r="X70" s="2276"/>
      <c r="Y70" s="2276"/>
      <c r="Z70" s="2276"/>
      <c r="AA70" s="2276"/>
      <c r="AB70" s="2276"/>
      <c r="AC70" s="2276"/>
      <c r="AD70" s="2276"/>
      <c r="AE70" s="2276"/>
      <c r="AF70" s="2276"/>
      <c r="AG70" s="2276"/>
      <c r="AH70" s="2276"/>
      <c r="AI70" s="2276"/>
      <c r="AJ70" s="2276"/>
      <c r="AK70" s="2276"/>
      <c r="AL70" s="2276"/>
      <c r="AM70" s="2276"/>
      <c r="AN70" s="2276"/>
      <c r="AO70" s="2276"/>
      <c r="AP70" s="2276"/>
      <c r="AQ70" s="2276"/>
      <c r="AW70" s="1157">
        <v>27</v>
      </c>
    </row>
    <row customHeight="1" ht="18.75">
      <c r="P71" s="511"/>
      <c r="V71" s="2276"/>
      <c r="W71" s="2276"/>
      <c r="X71" s="2276"/>
      <c r="Y71" s="2276"/>
      <c r="Z71" s="2276"/>
      <c r="AA71" s="2276"/>
      <c r="AB71" s="2276"/>
      <c r="AC71" s="2276"/>
      <c r="AD71" s="2276"/>
      <c r="AE71" s="2276"/>
      <c r="AF71" s="2276"/>
      <c r="AG71" s="2276"/>
      <c r="AH71" s="2276"/>
      <c r="AI71" s="2276"/>
      <c r="AJ71" s="2276"/>
      <c r="AK71" s="2276"/>
      <c r="AL71" s="2276"/>
      <c r="AM71" s="2276"/>
      <c r="AN71" s="2276"/>
      <c r="AO71" s="2276"/>
      <c r="AP71" s="2276"/>
      <c r="AQ71" s="2276"/>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C74188-8F68-B8F1-5AF8-119BD7B7F7C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1777" width="3.00390625" customWidth="1"/>
    <col min="17" max="17" style="1373" width="3.00390625" customWidth="1"/>
    <col min="18" max="18" style="346" width="3.00390625" customWidth="1"/>
    <col min="19" max="19" style="2433"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77">
        <v>1</v>
      </c>
      <c r="F2" s="1365"/>
      <c r="G2" s="1365"/>
      <c r="H2" s="1365"/>
      <c r="I2" s="1365"/>
      <c r="J2" s="1365"/>
      <c r="K2" s="1365"/>
      <c r="L2" s="1366"/>
      <c r="M2" s="1367"/>
      <c r="N2" s="1367"/>
      <c r="O2" s="1367"/>
      <c r="P2" s="1411"/>
      <c r="Q2" s="875"/>
      <c r="R2" s="357"/>
      <c r="S2" s="1338">
        <f>INDEX(PT_DIFFERENTIATION_NUM_NTAR,MATCH(A2,PT_DIFFERENTIATION_NTAR_ID,0))</f>
      </c>
      <c r="T2" s="300" t="s">
        <v>120</v>
      </c>
      <c r="U2" s="302"/>
      <c r="V2" s="2272"/>
      <c r="W2" s="2272"/>
      <c r="X2" s="2272"/>
      <c r="Y2" s="2272"/>
      <c r="Z2" s="2272"/>
      <c r="AA2" s="2273"/>
      <c r="AB2" s="2271">
        <f>INDEX(PT_DIFFERENTIATION_NTAR,MATCH(A2,PT_DIFFERENTIATION_NTAR_ID,0))</f>
      </c>
      <c r="AC2" s="2272"/>
      <c r="AD2" s="2272"/>
      <c r="AE2" s="2272"/>
      <c r="AF2" s="2272"/>
      <c r="AG2" s="2272"/>
      <c r="AH2" s="2272"/>
      <c r="AI2" s="2272"/>
      <c r="AJ2" s="2272"/>
      <c r="AK2" s="2272"/>
      <c r="AL2" s="2272"/>
      <c r="AM2" s="2272"/>
      <c r="AN2" s="2272"/>
      <c r="AO2" s="2272"/>
      <c r="AP2" s="2272"/>
      <c r="AQ2" s="2272"/>
      <c r="AR2" s="2272"/>
      <c r="AS2" s="2272"/>
      <c r="AT2" s="2273"/>
      <c r="AU2" s="1260" t="s">
        <v>391</v>
      </c>
      <c r="AW2" s="502"/>
      <c r="AX2" s="502" t="str">
        <f>IF(T2="","",T2)</f>
        <v>Наименование тарифа</v>
      </c>
      <c r="AY2" s="502"/>
      <c r="AZ2" s="502"/>
      <c r="BA2" s="1157">
        <v>0</v>
      </c>
    </row>
    <row customHeight="1" ht="21" hidden="1">
      <c r="A3" s="1365"/>
      <c r="B3" s="1365"/>
      <c r="C3" s="1365"/>
      <c r="D3" s="1365"/>
      <c r="E3" s="2278"/>
      <c r="F3" s="2277">
        <v>1</v>
      </c>
      <c r="G3" s="1365"/>
      <c r="H3" s="1365"/>
      <c r="I3" s="1365"/>
      <c r="J3" s="1365"/>
      <c r="K3" s="1365"/>
      <c r="L3" s="1366"/>
      <c r="M3" s="1367"/>
      <c r="N3" s="1367"/>
      <c r="O3" s="1367"/>
      <c r="P3" s="1412"/>
      <c r="Q3" s="1413"/>
      <c r="R3" s="355"/>
      <c r="S3" s="1338">
        <f>INDEX(PT_DIFFERENTIATION_NUM_TER,MATCH(B3,PT_DIFFERENTIATION_TER_ID,0))</f>
      </c>
      <c r="T3" s="310" t="s">
        <v>392</v>
      </c>
      <c r="U3" s="302"/>
      <c r="V3" s="2272"/>
      <c r="W3" s="2272"/>
      <c r="X3" s="2272"/>
      <c r="Y3" s="2272"/>
      <c r="Z3" s="2272"/>
      <c r="AA3" s="2273"/>
      <c r="AB3" s="2271">
        <f>INDEX(PT_DIFFERENTIATION_TER,MATCH(B3,PT_DIFFERENTIATION_TER_ID,0))</f>
      </c>
      <c r="AC3" s="2272"/>
      <c r="AD3" s="2272"/>
      <c r="AE3" s="2272"/>
      <c r="AF3" s="2272"/>
      <c r="AG3" s="2272"/>
      <c r="AH3" s="2272"/>
      <c r="AI3" s="2272"/>
      <c r="AJ3" s="2272"/>
      <c r="AK3" s="2272"/>
      <c r="AL3" s="2272"/>
      <c r="AM3" s="2272"/>
      <c r="AN3" s="2272"/>
      <c r="AO3" s="2272"/>
      <c r="AP3" s="2272"/>
      <c r="AQ3" s="2272"/>
      <c r="AR3" s="2272"/>
      <c r="AS3" s="2272"/>
      <c r="AT3" s="2273"/>
      <c r="AU3" s="1260" t="s">
        <v>393</v>
      </c>
      <c r="AW3" s="502"/>
      <c r="AX3" s="502" t="str">
        <f>IF(T3="","",T3)</f>
        <v>Территория действия тарифа</v>
      </c>
      <c r="AY3" s="502"/>
      <c r="AZ3" s="502"/>
      <c r="BA3" s="1157">
        <v>0</v>
      </c>
    </row>
    <row customHeight="1" ht="22.5" hidden="1">
      <c r="A4" s="1365"/>
      <c r="B4" s="1365"/>
      <c r="C4" s="1365"/>
      <c r="D4" s="1365"/>
      <c r="E4" s="2278"/>
      <c r="F4" s="2278"/>
      <c r="G4" s="2277">
        <v>1</v>
      </c>
      <c r="H4" s="1365"/>
      <c r="I4" s="1365"/>
      <c r="J4" s="1365"/>
      <c r="K4" s="1365"/>
      <c r="L4" s="1366"/>
      <c r="M4" s="1367"/>
      <c r="N4" s="1367"/>
      <c r="O4" s="1367"/>
      <c r="P4" s="1414"/>
      <c r="Q4" s="1413"/>
      <c r="R4" s="355"/>
      <c r="S4" s="1338">
        <f>INDEX(PT_DIFFERENTIATION_NUM_CS,MATCH(C4,PT_DIFFERENTIATION_CS_ID,0))</f>
      </c>
      <c r="T4" s="311" t="s">
        <v>394</v>
      </c>
      <c r="U4" s="302"/>
      <c r="V4" s="2272"/>
      <c r="W4" s="2272"/>
      <c r="X4" s="2272"/>
      <c r="Y4" s="2272"/>
      <c r="Z4" s="2272"/>
      <c r="AA4" s="2273"/>
      <c r="AB4" s="2271">
        <f>INDEX(PT_DIFFERENTIATION_CS,MATCH(C4,PT_DIFFERENTIATION_CS_ID,0))</f>
      </c>
      <c r="AC4" s="2272"/>
      <c r="AD4" s="2272"/>
      <c r="AE4" s="2272"/>
      <c r="AF4" s="2272"/>
      <c r="AG4" s="2272"/>
      <c r="AH4" s="2272"/>
      <c r="AI4" s="2272"/>
      <c r="AJ4" s="2272"/>
      <c r="AK4" s="2272"/>
      <c r="AL4" s="2272"/>
      <c r="AM4" s="2272"/>
      <c r="AN4" s="2272"/>
      <c r="AO4" s="2272"/>
      <c r="AP4" s="2272"/>
      <c r="AQ4" s="2272"/>
      <c r="AR4" s="2272"/>
      <c r="AS4" s="2272"/>
      <c r="AT4" s="2273"/>
      <c r="AU4" s="1260" t="s">
        <v>395</v>
      </c>
      <c r="AW4" s="502"/>
      <c r="AX4" s="502" t="str">
        <f>IF(T4="","",T4)</f>
        <v>Наименование системы теплоснабжения </v>
      </c>
      <c r="AY4" s="502"/>
      <c r="AZ4" s="502"/>
      <c r="BA4" s="1157">
        <v>0</v>
      </c>
    </row>
    <row customHeight="1" ht="21" hidden="1">
      <c r="A5" s="1365"/>
      <c r="B5" s="1365"/>
      <c r="C5" s="1365"/>
      <c r="D5" s="1365"/>
      <c r="E5" s="2278"/>
      <c r="F5" s="2278"/>
      <c r="G5" s="2278"/>
      <c r="H5" s="2277">
        <v>1</v>
      </c>
      <c r="I5" s="1365"/>
      <c r="J5" s="1365"/>
      <c r="K5" s="1365"/>
      <c r="L5" s="1366"/>
      <c r="M5" s="1367"/>
      <c r="N5" s="1367"/>
      <c r="O5" s="1367"/>
      <c r="P5" s="1414"/>
      <c r="Q5" s="1413"/>
      <c r="R5" s="355"/>
      <c r="S5" s="1338">
        <f>INDEX(PT_DIFFERENTIATION_NUM_IST_TE,MATCH(D5,PT_DIFFERENTIATION_IST_TE_ID,0))</f>
      </c>
      <c r="T5" s="312" t="s">
        <v>396</v>
      </c>
      <c r="U5" s="302"/>
      <c r="V5" s="2272"/>
      <c r="W5" s="2272"/>
      <c r="X5" s="2272"/>
      <c r="Y5" s="2272"/>
      <c r="Z5" s="2272"/>
      <c r="AA5" s="2273"/>
      <c r="AB5" s="2271">
        <f>INDEX(PT_DIFFERENTIATION_IST_TE,MATCH(D5,PT_DIFFERENTIATION_IST_TE_ID,0))</f>
      </c>
      <c r="AC5" s="2272"/>
      <c r="AD5" s="2272"/>
      <c r="AE5" s="2272"/>
      <c r="AF5" s="2272"/>
      <c r="AG5" s="2272"/>
      <c r="AH5" s="2272"/>
      <c r="AI5" s="2272"/>
      <c r="AJ5" s="2272"/>
      <c r="AK5" s="2272"/>
      <c r="AL5" s="2272"/>
      <c r="AM5" s="2272"/>
      <c r="AN5" s="2272"/>
      <c r="AO5" s="2272"/>
      <c r="AP5" s="2272"/>
      <c r="AQ5" s="2272"/>
      <c r="AR5" s="2272"/>
      <c r="AS5" s="2272"/>
      <c r="AT5" s="2273"/>
      <c r="AU5" s="1260" t="s">
        <v>397</v>
      </c>
      <c r="AW5" s="502"/>
      <c r="AX5" s="502" t="str">
        <f>IF(T5="","",T5)</f>
        <v>Источник тепловой энергии  </v>
      </c>
      <c r="AY5" s="502"/>
      <c r="AZ5" s="502"/>
      <c r="BA5" s="1157">
        <v>0</v>
      </c>
    </row>
    <row s="1644" customFormat="1" customHeight="1" ht="0.75" hidden="1">
      <c r="A6" s="1345"/>
      <c r="B6" s="1345"/>
      <c r="C6" s="1345"/>
      <c r="D6" s="1345"/>
      <c r="E6" s="2278"/>
      <c r="F6" s="2278"/>
      <c r="G6" s="2278"/>
      <c r="H6" s="2278"/>
      <c r="I6" s="2279">
        <f>S5&amp;".1"</f>
      </c>
      <c r="J6" s="1345"/>
      <c r="K6" s="1345"/>
      <c r="L6" s="1348" t="s">
        <v>398</v>
      </c>
      <c r="M6" s="512"/>
      <c r="N6" s="512"/>
      <c r="O6" s="512"/>
      <c r="P6" s="2281">
        <v>1</v>
      </c>
      <c r="Q6" s="1333"/>
      <c r="R6" s="358"/>
      <c r="S6" s="1044"/>
      <c r="T6" s="1385"/>
      <c r="U6" s="1386"/>
      <c r="V6" s="2320"/>
      <c r="W6" s="2320"/>
      <c r="X6" s="2320"/>
      <c r="Y6" s="2320"/>
      <c r="Z6" s="2320"/>
      <c r="AA6" s="2321"/>
      <c r="AB6" s="2319"/>
      <c r="AC6" s="2320"/>
      <c r="AD6" s="2320"/>
      <c r="AE6" s="2320"/>
      <c r="AF6" s="2320"/>
      <c r="AG6" s="2320"/>
      <c r="AH6" s="2320"/>
      <c r="AI6" s="2320"/>
      <c r="AJ6" s="2320"/>
      <c r="AK6" s="2320"/>
      <c r="AL6" s="2320"/>
      <c r="AM6" s="2320"/>
      <c r="AN6" s="2320"/>
      <c r="AO6" s="2320"/>
      <c r="AP6" s="2320"/>
      <c r="AQ6" s="2320"/>
      <c r="AR6" s="2320"/>
      <c r="AS6" s="2320"/>
      <c r="AT6" s="2321"/>
      <c r="AU6" s="1387"/>
      <c r="AW6" s="502"/>
      <c r="AX6" s="502" t="str">
        <f>IF(T6="","",T6)</f>
        <v/>
      </c>
      <c r="AY6" s="502"/>
      <c r="AZ6" s="502"/>
      <c r="BA6" s="513">
        <v>0</v>
      </c>
    </row>
    <row s="1644" customFormat="1" customHeight="1" ht="0.75" hidden="1">
      <c r="A7" s="1345"/>
      <c r="B7" s="1345"/>
      <c r="C7" s="1345"/>
      <c r="D7" s="1345"/>
      <c r="E7" s="2278"/>
      <c r="F7" s="2278"/>
      <c r="G7" s="2278"/>
      <c r="H7" s="2278"/>
      <c r="I7" s="2280"/>
      <c r="J7" s="2279">
        <f>S5&amp;".1"</f>
      </c>
      <c r="K7" s="1345"/>
      <c r="L7" s="1348"/>
      <c r="M7" s="512"/>
      <c r="N7" s="512"/>
      <c r="O7" s="512"/>
      <c r="P7" s="2281"/>
      <c r="Q7" s="2281">
        <v>1</v>
      </c>
      <c r="R7" s="359"/>
      <c r="S7" s="1044"/>
      <c r="T7" s="1401"/>
      <c r="U7" s="1386"/>
      <c r="V7" s="2320"/>
      <c r="W7" s="2320"/>
      <c r="X7" s="2320"/>
      <c r="Y7" s="2320"/>
      <c r="Z7" s="2320"/>
      <c r="AA7" s="2321"/>
      <c r="AB7" s="2319"/>
      <c r="AC7" s="2320"/>
      <c r="AD7" s="2320"/>
      <c r="AE7" s="2320"/>
      <c r="AF7" s="2320"/>
      <c r="AG7" s="2320"/>
      <c r="AH7" s="2320"/>
      <c r="AI7" s="2320"/>
      <c r="AJ7" s="2320"/>
      <c r="AK7" s="2320"/>
      <c r="AL7" s="2320"/>
      <c r="AM7" s="2320"/>
      <c r="AN7" s="2320"/>
      <c r="AO7" s="2320"/>
      <c r="AP7" s="2320"/>
      <c r="AQ7" s="2320"/>
      <c r="AR7" s="2320"/>
      <c r="AS7" s="2320"/>
      <c r="AT7" s="2321"/>
      <c r="AU7" s="1387"/>
      <c r="AW7" s="502"/>
      <c r="AX7" s="502" t="str">
        <f>IF(T7="","",T7)</f>
        <v/>
      </c>
      <c r="AY7" s="502"/>
      <c r="AZ7" s="502"/>
      <c r="BA7" s="513">
        <v>0</v>
      </c>
    </row>
    <row customHeight="1" ht="21" hidden="1">
      <c r="A8" s="1365"/>
      <c r="B8" s="1365"/>
      <c r="C8" s="1365"/>
      <c r="D8" s="1365"/>
      <c r="E8" s="2278"/>
      <c r="F8" s="2278"/>
      <c r="G8" s="2278"/>
      <c r="H8" s="2278"/>
      <c r="I8" s="2280"/>
      <c r="J8" s="2280"/>
      <c r="K8" s="2279">
        <f>S5&amp;".1"</f>
      </c>
      <c r="L8" s="1366"/>
      <c r="P8" s="2281"/>
      <c r="Q8" s="2281"/>
      <c r="R8" s="2364">
        <v>1</v>
      </c>
      <c r="S8" s="2361">
        <f>$K8</f>
      </c>
      <c r="T8" s="2358"/>
      <c r="U8" s="302"/>
      <c r="V8" s="753"/>
      <c r="W8" s="1259"/>
      <c r="X8" s="2282"/>
      <c r="Y8" s="2150" t="s">
        <v>65</v>
      </c>
      <c r="Z8" s="2282"/>
      <c r="AA8" s="2150" t="s">
        <v>65</v>
      </c>
      <c r="AB8" s="2150" t="s">
        <v>19</v>
      </c>
      <c r="AC8" s="2357"/>
      <c r="AD8" s="2228">
        <v>1</v>
      </c>
      <c r="AE8" s="2371"/>
      <c r="AF8" s="2150" t="s">
        <v>19</v>
      </c>
      <c r="AG8" s="2357"/>
      <c r="AH8" s="2228">
        <v>1</v>
      </c>
      <c r="AI8" s="2371"/>
      <c r="AJ8" s="2150" t="s">
        <v>19</v>
      </c>
      <c r="AK8" s="313"/>
      <c r="AL8" s="1339">
        <v>1</v>
      </c>
      <c r="AM8" s="1400"/>
      <c r="AN8" s="753"/>
      <c r="AO8" s="1259"/>
      <c r="AP8" s="1735"/>
      <c r="AQ8" s="1461" t="s">
        <v>65</v>
      </c>
      <c r="AR8" s="1735"/>
      <c r="AS8" s="1461" t="s">
        <v>65</v>
      </c>
      <c r="AT8" s="1350"/>
      <c r="AU8" s="2307" t="s">
        <v>455</v>
      </c>
      <c r="AV8" s="513">
        <f>STRCHECKDATE(V11:AT11)</f>
      </c>
      <c r="AW8" s="502"/>
      <c r="AX8" s="502" t="str">
        <f>IF(T8="","",T8)</f>
        <v/>
      </c>
      <c r="AY8" s="502"/>
      <c r="AZ8" s="502"/>
      <c r="BA8" s="1157">
        <v>0</v>
      </c>
    </row>
    <row customHeight="1" ht="11.25" hidden="1">
      <c r="A9" s="1365"/>
      <c r="B9" s="1365"/>
      <c r="C9" s="1365"/>
      <c r="D9" s="1365"/>
      <c r="E9" s="2278"/>
      <c r="F9" s="2278"/>
      <c r="G9" s="2278"/>
      <c r="H9" s="2278"/>
      <c r="I9" s="2280"/>
      <c r="J9" s="2280"/>
      <c r="K9" s="2279"/>
      <c r="L9" s="1366"/>
      <c r="P9" s="2281"/>
      <c r="Q9" s="2281"/>
      <c r="R9" s="2364"/>
      <c r="S9" s="2362"/>
      <c r="T9" s="2359"/>
      <c r="U9" s="302"/>
      <c r="V9" s="1395"/>
      <c r="W9" s="1399"/>
      <c r="X9" s="2282"/>
      <c r="Y9" s="2150"/>
      <c r="Z9" s="2282"/>
      <c r="AA9" s="2150"/>
      <c r="AB9" s="2150"/>
      <c r="AC9" s="2357"/>
      <c r="AD9" s="2228"/>
      <c r="AE9" s="2371"/>
      <c r="AF9" s="2150"/>
      <c r="AG9" s="2357"/>
      <c r="AH9" s="2228"/>
      <c r="AI9" s="2371"/>
      <c r="AJ9" s="2150"/>
      <c r="AK9" s="318"/>
      <c r="AL9" s="418"/>
      <c r="AM9" s="417" t="s">
        <v>456</v>
      </c>
      <c r="AN9" s="1395"/>
      <c r="AO9" s="1498"/>
      <c r="AP9" s="1395"/>
      <c r="AQ9" s="1395"/>
      <c r="AR9" s="1395"/>
      <c r="AS9" s="1395"/>
      <c r="AT9" s="1392"/>
      <c r="AU9" s="2308"/>
      <c r="AW9" s="502"/>
      <c r="AX9" s="502"/>
      <c r="AY9" s="502"/>
      <c r="AZ9" s="502"/>
      <c r="BA9" s="1157">
        <v>0</v>
      </c>
    </row>
    <row customHeight="1" ht="11.25" hidden="1">
      <c r="A10" s="1365"/>
      <c r="B10" s="1365"/>
      <c r="C10" s="1365"/>
      <c r="D10" s="1365"/>
      <c r="E10" s="2278"/>
      <c r="F10" s="2278"/>
      <c r="G10" s="2278"/>
      <c r="H10" s="2278"/>
      <c r="I10" s="2280"/>
      <c r="J10" s="2280"/>
      <c r="K10" s="2279"/>
      <c r="L10" s="1366"/>
      <c r="P10" s="2281"/>
      <c r="Q10" s="2281"/>
      <c r="R10" s="2364"/>
      <c r="S10" s="2362"/>
      <c r="T10" s="2359"/>
      <c r="U10" s="302"/>
      <c r="V10" s="1395"/>
      <c r="W10" s="1399"/>
      <c r="X10" s="2282"/>
      <c r="Y10" s="2150"/>
      <c r="Z10" s="2282"/>
      <c r="AA10" s="2150"/>
      <c r="AB10" s="2150"/>
      <c r="AC10" s="2357"/>
      <c r="AD10" s="2228"/>
      <c r="AE10" s="2371"/>
      <c r="AF10" s="2150"/>
      <c r="AG10" s="296"/>
      <c r="AH10" s="417"/>
      <c r="AI10" s="417" t="s">
        <v>457</v>
      </c>
      <c r="AJ10" s="1395"/>
      <c r="AK10" s="1395"/>
      <c r="AL10" s="1395"/>
      <c r="AM10" s="1395"/>
      <c r="AN10" s="1395"/>
      <c r="AO10" s="1498"/>
      <c r="AP10" s="1395"/>
      <c r="AQ10" s="1395"/>
      <c r="AR10" s="1395"/>
      <c r="AS10" s="1395"/>
      <c r="AT10" s="1392"/>
      <c r="AU10" s="2308"/>
      <c r="AW10" s="502"/>
      <c r="AX10" s="502"/>
      <c r="AY10" s="502"/>
      <c r="AZ10" s="502"/>
      <c r="BA10" s="1157">
        <v>0</v>
      </c>
    </row>
    <row customHeight="1" ht="11.25" hidden="1">
      <c r="A11" s="1365"/>
      <c r="B11" s="1365"/>
      <c r="C11" s="1365"/>
      <c r="D11" s="1365"/>
      <c r="E11" s="2278"/>
      <c r="F11" s="2278"/>
      <c r="G11" s="2278"/>
      <c r="H11" s="2278"/>
      <c r="I11" s="2280"/>
      <c r="J11" s="2280"/>
      <c r="K11" s="2279"/>
      <c r="L11" s="1366"/>
      <c r="P11" s="2281"/>
      <c r="Q11" s="2281"/>
      <c r="R11" s="2364"/>
      <c r="S11" s="2363"/>
      <c r="T11" s="2360"/>
      <c r="U11" s="302"/>
      <c r="V11" s="1395"/>
      <c r="W11" s="1398" t="str">
        <f>X8&amp;"-"&amp;Z8</f>
        <v>-</v>
      </c>
      <c r="X11" s="2283"/>
      <c r="Y11" s="2150"/>
      <c r="Z11" s="2283"/>
      <c r="AA11" s="2150"/>
      <c r="AB11" s="2150"/>
      <c r="AC11" s="314"/>
      <c r="AD11" s="316"/>
      <c r="AE11" s="417" t="s">
        <v>458</v>
      </c>
      <c r="AF11" s="1395"/>
      <c r="AG11" s="1395"/>
      <c r="AH11" s="1395"/>
      <c r="AI11" s="1395"/>
      <c r="AJ11" s="1395"/>
      <c r="AK11" s="1395"/>
      <c r="AL11" s="1395"/>
      <c r="AM11" s="1395"/>
      <c r="AN11" s="1395"/>
      <c r="AO11" s="1396" t="str">
        <f>AP8&amp;"-"&amp;AR8</f>
        <v>-</v>
      </c>
      <c r="AP11" s="1395"/>
      <c r="AQ11" s="1395"/>
      <c r="AR11" s="1395"/>
      <c r="AS11" s="1395"/>
      <c r="AT11" s="1351"/>
      <c r="AU11" s="2308"/>
      <c r="AW11" s="502"/>
      <c r="AX11" s="502" t="str">
        <f>IF(T11="","",T11)</f>
        <v/>
      </c>
      <c r="AY11" s="502"/>
      <c r="AZ11" s="502"/>
      <c r="BA11" s="1157">
        <v>0</v>
      </c>
    </row>
    <row customHeight="1" ht="11.25" hidden="1">
      <c r="A12" s="1365"/>
      <c r="B12" s="1365"/>
      <c r="C12" s="1365"/>
      <c r="D12" s="1365"/>
      <c r="E12" s="2278"/>
      <c r="F12" s="2278"/>
      <c r="G12" s="2278"/>
      <c r="H12" s="2278"/>
      <c r="I12" s="2280"/>
      <c r="J12" s="2279"/>
      <c r="K12" s="1365"/>
      <c r="L12" s="1366"/>
      <c r="P12" s="2281"/>
      <c r="Q12" s="2281"/>
      <c r="R12" s="358"/>
      <c r="S12" s="1280"/>
      <c r="T12" s="289" t="s">
        <v>459</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309"/>
      <c r="AW12" s="502"/>
      <c r="AX12" s="502" t="str">
        <f>IF(T12="","",T12)</f>
        <v>Добавить строку</v>
      </c>
      <c r="AY12" s="502"/>
      <c r="AZ12" s="502"/>
      <c r="BA12" s="1157">
        <v>0</v>
      </c>
    </row>
    <row s="1644" customFormat="1" customHeight="1" ht="0.75" hidden="1">
      <c r="A13" s="1345"/>
      <c r="B13" s="1345"/>
      <c r="C13" s="1345"/>
      <c r="D13" s="1345"/>
      <c r="E13" s="2278"/>
      <c r="F13" s="2278"/>
      <c r="G13" s="2278"/>
      <c r="H13" s="2278"/>
      <c r="I13" s="2279"/>
      <c r="J13" s="1345"/>
      <c r="K13" s="1345"/>
      <c r="L13" s="1348"/>
      <c r="M13" s="512"/>
      <c r="N13" s="512"/>
      <c r="O13" s="512"/>
      <c r="P13" s="2281"/>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78"/>
      <c r="F14" s="2278"/>
      <c r="G14" s="2278"/>
      <c r="H14" s="2277"/>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78"/>
      <c r="F15" s="2278"/>
      <c r="G15" s="2277"/>
      <c r="H15" s="1316"/>
      <c r="I15" s="1316"/>
      <c r="J15" s="1316"/>
      <c r="K15" s="1316"/>
      <c r="L15" s="1341"/>
      <c r="M15" s="1317"/>
      <c r="N15" s="1317"/>
      <c r="P15" s="1318"/>
      <c r="Q15" s="1319"/>
      <c r="R15" s="1318"/>
      <c r="S15" s="1324"/>
      <c r="T15" s="1327" t="s">
        <v>409</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78"/>
      <c r="F16" s="2277"/>
      <c r="G16" s="1316"/>
      <c r="H16" s="1316"/>
      <c r="I16" s="1316"/>
      <c r="J16" s="1316"/>
      <c r="K16" s="1316"/>
      <c r="L16" s="1341"/>
      <c r="M16" s="1323"/>
      <c r="N16" s="1323"/>
      <c r="P16" s="1318"/>
      <c r="Q16" s="1319"/>
      <c r="R16" s="1318"/>
      <c r="S16" s="1324"/>
      <c r="T16" s="1327" t="s">
        <v>410</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77"/>
      <c r="F17" s="1345"/>
      <c r="G17" s="1345"/>
      <c r="H17" s="1345"/>
      <c r="I17" s="1345"/>
      <c r="J17" s="1345"/>
      <c r="K17" s="1345"/>
      <c r="L17" s="1348"/>
      <c r="M17" s="1323"/>
      <c r="N17" s="1323"/>
      <c r="O17" s="520"/>
      <c r="P17" s="382"/>
      <c r="Q17" s="1346"/>
      <c r="R17" s="382"/>
      <c r="S17" s="1324"/>
      <c r="T17" s="1327" t="s">
        <v>411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7"/>
      <c r="AQ19" s="1462" t="s">
        <v>65</v>
      </c>
      <c r="AR19" s="1737"/>
      <c r="AS19" s="1462" t="s">
        <v>65</v>
      </c>
      <c r="BA19" s="1157">
        <v>0</v>
      </c>
    </row>
    <row customHeight="1" ht="14.25" hidden="1">
      <c r="AV20" s="498"/>
      <c r="AW20" s="498"/>
      <c r="AX20" s="498"/>
      <c r="AY20" s="498"/>
      <c r="AZ20" s="498"/>
      <c r="BA20" s="1157">
        <v>0</v>
      </c>
    </row>
    <row customHeight="1" ht="14.25" hidden="1">
      <c r="O21" s="1369" t="s">
        <v>412</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413</v>
      </c>
      <c r="P23" s="1510"/>
      <c r="Q23" s="1512"/>
      <c r="R23" s="1512"/>
      <c r="Y23" s="1509" t="s">
        <v>415</v>
      </c>
      <c r="AA23" s="1509" t="s">
        <v>416</v>
      </c>
      <c r="AB23" s="1509" t="s">
        <v>460</v>
      </c>
      <c r="AE23" s="1509" t="s">
        <v>461</v>
      </c>
      <c r="AF23" s="1509" t="s">
        <v>460</v>
      </c>
      <c r="AI23" s="1509" t="s">
        <v>462</v>
      </c>
      <c r="AJ23" s="1509" t="s">
        <v>460</v>
      </c>
      <c r="AM23" s="1509" t="s">
        <v>463</v>
      </c>
      <c r="AQ23" s="1509" t="s">
        <v>415</v>
      </c>
      <c r="AS23" s="1509" t="s">
        <v>416</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3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10"/>
      <c r="U27" s="2310"/>
      <c r="V27" s="2310"/>
      <c r="W27" s="2310"/>
      <c r="X27" s="2310"/>
      <c r="Y27" s="2310"/>
      <c r="Z27" s="2310"/>
      <c r="AA27" s="2310"/>
      <c r="AB27" s="2310"/>
      <c r="AC27" s="2310"/>
      <c r="AD27" s="2310"/>
      <c r="AE27" s="2310"/>
      <c r="AF27" s="2310"/>
      <c r="AG27" s="2310"/>
      <c r="AH27" s="2310"/>
      <c r="AI27" s="2310"/>
      <c r="AJ27" s="2310"/>
      <c r="AK27" s="2310"/>
      <c r="AL27" s="2310"/>
      <c r="AM27" s="2310"/>
      <c r="AN27" s="2310"/>
      <c r="AO27" s="2310"/>
      <c r="AP27" s="2310"/>
      <c r="AQ27" s="2310"/>
      <c r="AR27" s="2310"/>
      <c r="AS27" s="1245"/>
      <c r="BA27" s="1157">
        <v>26</v>
      </c>
    </row>
    <row customHeight="1" ht="14.699999999999998">
      <c r="Q28" s="293"/>
      <c r="R28" s="378"/>
      <c r="S28" s="2311" t="str">
        <f>IF(org=0,"Не определено",org)</f>
        <v>Муниципальное унитарное предприятие "Невельские коммунальные сети"</v>
      </c>
      <c r="T28" s="2311"/>
      <c r="U28" s="2311"/>
      <c r="V28" s="2311"/>
      <c r="W28" s="2311"/>
      <c r="X28" s="2311"/>
      <c r="Y28" s="2311"/>
      <c r="Z28" s="2311"/>
      <c r="AA28" s="2311"/>
      <c r="AB28" s="2311"/>
      <c r="AC28" s="2311"/>
      <c r="AD28" s="2311"/>
      <c r="AE28" s="2311"/>
      <c r="AF28" s="2311"/>
      <c r="AG28" s="2311"/>
      <c r="AH28" s="2311"/>
      <c r="AI28" s="2311"/>
      <c r="AJ28" s="2311"/>
      <c r="AK28" s="2311"/>
      <c r="AL28" s="2311"/>
      <c r="AM28" s="2311"/>
      <c r="AN28" s="2311"/>
      <c r="AO28" s="2311"/>
      <c r="AP28" s="2311"/>
      <c r="AQ28" s="2311"/>
      <c r="AR28" s="231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2" customFormat="1" customHeight="1" ht="25.5" hidden="1">
      <c r="A30" s="1370"/>
      <c r="B30" s="1370"/>
      <c r="C30" s="1370"/>
      <c r="D30" s="1370"/>
      <c r="E30" s="1370"/>
      <c r="F30" s="1370"/>
      <c r="G30" s="1370"/>
      <c r="H30" s="1370"/>
      <c r="I30" s="1370"/>
      <c r="J30" s="1370"/>
      <c r="K30" s="1370"/>
      <c r="L30" s="1371"/>
      <c r="M30" s="1370"/>
      <c r="N30" s="1370"/>
      <c r="O30" s="1370"/>
      <c r="P30" s="1370"/>
      <c r="Q30" s="1370"/>
      <c r="S30"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68"/>
      <c r="U30" s="1374"/>
      <c r="V30" s="2270" t="str">
        <f>IF(TITLE_NAME_OR_PR_CHANGE="",IF(TITLE_NAME_OR_PR="","",TITLE_NAME_OR_PR),TITLE_NAME_OR_PR_CHANGE)</f>
        <v/>
      </c>
      <c r="W30" s="2270"/>
      <c r="X30" s="2270"/>
      <c r="Y30" s="2270"/>
      <c r="Z30" s="2270"/>
      <c r="AA30" s="328"/>
      <c r="AB30" s="2270" t="str">
        <f>IF(TITLE_NAME_OR_PR_CHANGE="",IF(TITLE_NAME_OR_PR="","",TITLE_NAME_OR_PR),TITLE_NAME_OR_PR_CHANGE)</f>
        <v/>
      </c>
      <c r="AC30" s="2270"/>
      <c r="AD30" s="2270"/>
      <c r="AE30" s="2270"/>
      <c r="AF30" s="2270"/>
      <c r="AG30" s="2270"/>
      <c r="AH30" s="2270"/>
      <c r="AI30" s="2270"/>
      <c r="AJ30" s="2270"/>
      <c r="AK30" s="2270"/>
      <c r="AL30" s="2270"/>
      <c r="AM30" s="2270"/>
      <c r="AN30" s="2270"/>
      <c r="AO30" s="2270"/>
      <c r="AP30" s="2270"/>
      <c r="AQ30" s="2270"/>
      <c r="AR30" s="2270"/>
      <c r="AS30" s="328"/>
      <c r="AT30" s="328"/>
      <c r="AU30" s="282"/>
      <c r="AV30" s="370"/>
      <c r="AW30" s="370"/>
      <c r="AX30" s="370"/>
      <c r="AY30" s="370"/>
      <c r="AZ30" s="370"/>
      <c r="BA30" s="420">
        <v>0</v>
      </c>
    </row>
    <row s="1852" customFormat="1" customHeight="1" ht="18.75" hidden="1">
      <c r="A31" s="1370"/>
      <c r="B31" s="1370"/>
      <c r="C31" s="1370"/>
      <c r="D31" s="1370"/>
      <c r="E31" s="1370"/>
      <c r="F31" s="1370"/>
      <c r="G31" s="1370"/>
      <c r="H31" s="1370"/>
      <c r="I31" s="1370"/>
      <c r="J31" s="1370"/>
      <c r="K31" s="1370"/>
      <c r="L31" s="1371"/>
      <c r="M31" s="1370"/>
      <c r="N31" s="1370"/>
      <c r="O31" s="1370"/>
      <c r="P31" s="1370"/>
      <c r="Q31" s="1370"/>
      <c r="S31" s="2268" t="str">
        <f>"Дата документа об "&amp;IF(TITLE_DATE_PR_CHANGE="","утверждении","изменении")&amp;" тарифов"</f>
        <v>Дата документа об утверждении тарифов</v>
      </c>
      <c r="T31" s="2268"/>
      <c r="U31" s="1374"/>
      <c r="V31" s="2269" t="str">
        <f>IF(TITLE_DATE_PR_CHANGE="",IF(TITLE_DATE_PR="","",TITLE_DATE_PR),TITLE_DATE_PR_CHANGE)</f>
        <v/>
      </c>
      <c r="W31" s="2269"/>
      <c r="X31" s="2269"/>
      <c r="Y31" s="2269"/>
      <c r="Z31" s="2269"/>
      <c r="AA31" s="328"/>
      <c r="AB31" s="2269" t="str">
        <f>IF(TITLE_DATE_PR_CHANGE="",IF(TITLE_DATE_PR="","",TITLE_DATE_PR),TITLE_DATE_PR_CHANGE)</f>
        <v/>
      </c>
      <c r="AC31" s="2269"/>
      <c r="AD31" s="2269"/>
      <c r="AE31" s="2269"/>
      <c r="AF31" s="2269"/>
      <c r="AG31" s="2269"/>
      <c r="AH31" s="2269"/>
      <c r="AI31" s="2269"/>
      <c r="AJ31" s="2269"/>
      <c r="AK31" s="2269"/>
      <c r="AL31" s="2269"/>
      <c r="AM31" s="2269"/>
      <c r="AN31" s="2269"/>
      <c r="AO31" s="2269"/>
      <c r="AP31" s="2269"/>
      <c r="AQ31" s="2269"/>
      <c r="AR31" s="2269"/>
      <c r="AS31" s="328"/>
      <c r="AT31" s="328"/>
      <c r="AU31" s="282"/>
      <c r="AV31" s="370"/>
      <c r="AW31" s="370"/>
      <c r="AX31" s="370"/>
      <c r="AY31" s="370"/>
      <c r="AZ31" s="370"/>
      <c r="BA31" s="420">
        <v>0</v>
      </c>
    </row>
    <row s="1852" customFormat="1" customHeight="1" ht="18.75" hidden="1">
      <c r="A32" s="1370"/>
      <c r="B32" s="1370"/>
      <c r="C32" s="1370"/>
      <c r="D32" s="1370"/>
      <c r="E32" s="1370"/>
      <c r="F32" s="1370"/>
      <c r="G32" s="1370"/>
      <c r="H32" s="1370"/>
      <c r="I32" s="1370"/>
      <c r="J32" s="1370"/>
      <c r="K32" s="1370"/>
      <c r="L32" s="1371"/>
      <c r="M32" s="1370"/>
      <c r="N32" s="1370"/>
      <c r="O32" s="1370"/>
      <c r="P32" s="1370"/>
      <c r="Q32" s="1370"/>
      <c r="S32" s="2268" t="str">
        <f>"Номер документа об "&amp;IF(TITLE_DATE_PR_CHANGE="","утверждении","изменении")&amp;" тарифов"</f>
        <v>Номер документа об утверждении тарифов</v>
      </c>
      <c r="T32" s="2268"/>
      <c r="U32" s="1374"/>
      <c r="V32" s="2270" t="str">
        <f>IF(TITLE_NUMBER_PR_CHANGE="",IF(TITLE_NUMBER_PR="","",TITLE_NUMBER_PR),TITLE_NUMBER_PR_CHANGE)</f>
        <v/>
      </c>
      <c r="W32" s="2270"/>
      <c r="X32" s="2270"/>
      <c r="Y32" s="2270"/>
      <c r="Z32" s="2270"/>
      <c r="AA32" s="328"/>
      <c r="AB32" s="2270" t="str">
        <f>IF(TITLE_NUMBER_PR_CHANGE="",IF(TITLE_NUMBER_PR="","",TITLE_NUMBER_PR),TITLE_NUMBER_PR_CHANGE)</f>
        <v/>
      </c>
      <c r="AC32" s="2270"/>
      <c r="AD32" s="2270"/>
      <c r="AE32" s="2270"/>
      <c r="AF32" s="2270"/>
      <c r="AG32" s="2270"/>
      <c r="AH32" s="2270"/>
      <c r="AI32" s="2270"/>
      <c r="AJ32" s="2270"/>
      <c r="AK32" s="2270"/>
      <c r="AL32" s="2270"/>
      <c r="AM32" s="2270"/>
      <c r="AN32" s="2270"/>
      <c r="AO32" s="2270"/>
      <c r="AP32" s="2270"/>
      <c r="AQ32" s="2270"/>
      <c r="AR32" s="2270"/>
      <c r="AS32" s="328"/>
      <c r="AT32" s="328"/>
      <c r="AU32" s="282"/>
      <c r="AV32" s="370"/>
      <c r="AW32" s="370"/>
      <c r="AX32" s="370"/>
      <c r="AY32" s="370"/>
      <c r="AZ32" s="370"/>
      <c r="BA32" s="420">
        <v>0</v>
      </c>
    </row>
    <row s="1852" customFormat="1" customHeight="1" ht="18.75" hidden="1">
      <c r="A33" s="1370"/>
      <c r="B33" s="1370"/>
      <c r="C33" s="1370"/>
      <c r="D33" s="1370"/>
      <c r="E33" s="1370"/>
      <c r="F33" s="1370"/>
      <c r="G33" s="1370"/>
      <c r="H33" s="1370"/>
      <c r="I33" s="1370"/>
      <c r="J33" s="1370"/>
      <c r="K33" s="1370"/>
      <c r="L33" s="1371"/>
      <c r="M33" s="1370"/>
      <c r="N33" s="1370"/>
      <c r="O33" s="1370"/>
      <c r="P33" s="1370"/>
      <c r="Q33" s="1370"/>
      <c r="S33" s="2268" t="s">
        <v>43</v>
      </c>
      <c r="T33" s="2268"/>
      <c r="U33" s="1374"/>
      <c r="V33" s="2270" t="str">
        <f>IF(TITLE_IST_PUB_CHANGE="",IF(TITLE_IST_PUB="","",TITLE_IST_PUB),TITLE_IST_PUB_CHANGE)</f>
        <v/>
      </c>
      <c r="W33" s="2270"/>
      <c r="X33" s="2270"/>
      <c r="Y33" s="2270"/>
      <c r="Z33" s="2270"/>
      <c r="AA33" s="328"/>
      <c r="AB33" s="2270" t="str">
        <f>IF(TITLE_IST_PUB_CHANGE="",IF(TITLE_IST_PUB="","",TITLE_IST_PUB),TITLE_IST_PUB_CHANGE)</f>
        <v/>
      </c>
      <c r="AC33" s="2270"/>
      <c r="AD33" s="2270"/>
      <c r="AE33" s="2270"/>
      <c r="AF33" s="2270"/>
      <c r="AG33" s="2270"/>
      <c r="AH33" s="2270"/>
      <c r="AI33" s="2270"/>
      <c r="AJ33" s="2270"/>
      <c r="AK33" s="2270"/>
      <c r="AL33" s="2270"/>
      <c r="AM33" s="2270"/>
      <c r="AN33" s="2270"/>
      <c r="AO33" s="2270"/>
      <c r="AP33" s="2270"/>
      <c r="AQ33" s="2270"/>
      <c r="AR33" s="2270"/>
      <c r="AS33" s="328"/>
      <c r="AT33" s="328"/>
      <c r="AU33" s="282"/>
      <c r="AV33" s="370"/>
      <c r="AW33" s="370"/>
      <c r="AX33" s="370"/>
      <c r="AY33" s="370"/>
      <c r="AZ33" s="370"/>
      <c r="BA33" s="420">
        <v>0</v>
      </c>
    </row>
    <row customHeight="1" ht="14.25" hidden="1">
      <c r="Q34" s="293"/>
      <c r="R34" s="378"/>
      <c r="S34" s="1277"/>
      <c r="T34" s="459"/>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2" customFormat="1" customHeight="1" ht="18.75" hidden="1">
      <c r="A35" s="1370"/>
      <c r="B35" s="1370"/>
      <c r="C35" s="1370"/>
      <c r="D35" s="1370"/>
      <c r="E35" s="1370"/>
      <c r="F35" s="1370"/>
      <c r="G35" s="1370"/>
      <c r="H35" s="1370"/>
      <c r="I35" s="1370"/>
      <c r="J35" s="1370"/>
      <c r="K35" s="1370"/>
      <c r="L35" s="1371"/>
      <c r="M35" s="1370"/>
      <c r="N35" s="1370"/>
      <c r="O35" s="1370"/>
      <c r="P35" s="1370"/>
      <c r="Q35" s="1370"/>
      <c r="S35" s="2268" t="str">
        <f>"Дата подачи заявления об "&amp;IF(TITLE_DATE_PR_CHANGE="","утверждении","изменении")&amp;" тарифов"</f>
        <v>Дата подачи заявления об утверждении тарифов</v>
      </c>
      <c r="T35" s="2268"/>
      <c r="U35" s="1374"/>
      <c r="V35" s="2269" t="str">
        <f>IF(TITLE_DATE_PR_CHANGE="",IF(TITLE_DATE_PR="","",TITLE_DATE_PR),TITLE_DATE_PR_CHANGE)</f>
        <v/>
      </c>
      <c r="W35" s="2269"/>
      <c r="X35" s="2269"/>
      <c r="Y35" s="2269"/>
      <c r="Z35" s="2269"/>
      <c r="AA35" s="328"/>
      <c r="AB35" s="2269" t="str">
        <f>IF(TITLE_DATE_PR_CHANGE="",IF(TITLE_DATE_PR="","",TITLE_DATE_PR),TITLE_DATE_PR_CHANGE)</f>
        <v/>
      </c>
      <c r="AC35" s="2269"/>
      <c r="AD35" s="2269"/>
      <c r="AE35" s="2269"/>
      <c r="AF35" s="2269"/>
      <c r="AG35" s="2269"/>
      <c r="AH35" s="2269"/>
      <c r="AI35" s="2269"/>
      <c r="AJ35" s="2269"/>
      <c r="AK35" s="2269"/>
      <c r="AL35" s="2269"/>
      <c r="AM35" s="2269"/>
      <c r="AN35" s="2269"/>
      <c r="AO35" s="2269"/>
      <c r="AP35" s="2269"/>
      <c r="AQ35" s="2269"/>
      <c r="AR35" s="2269"/>
      <c r="AS35" s="328"/>
      <c r="AT35" s="328"/>
      <c r="AU35" s="282"/>
      <c r="AV35" s="370"/>
      <c r="AW35" s="370"/>
      <c r="AX35" s="370"/>
      <c r="AY35" s="370"/>
      <c r="AZ35" s="370"/>
      <c r="BA35" s="420">
        <v>0</v>
      </c>
    </row>
    <row s="1852" customFormat="1" customHeight="1" ht="18" hidden="1">
      <c r="A36" s="1370"/>
      <c r="B36" s="1370"/>
      <c r="C36" s="1370"/>
      <c r="D36" s="1370"/>
      <c r="E36" s="1370"/>
      <c r="F36" s="1370"/>
      <c r="G36" s="1370"/>
      <c r="H36" s="1370"/>
      <c r="I36" s="1370"/>
      <c r="J36" s="1370"/>
      <c r="K36" s="1370"/>
      <c r="L36" s="1371"/>
      <c r="M36" s="1370"/>
      <c r="N36" s="1370"/>
      <c r="O36" s="1370"/>
      <c r="P36" s="1370"/>
      <c r="Q36" s="1370"/>
      <c r="S36" s="2268" t="str">
        <f>"Номер подачи заявления об "&amp;IF(TITLE_DATE_PR_CHANGE="","утверждении","изменении")&amp;" тарифов"</f>
        <v>Номер подачи заявления об утверждении тарифов</v>
      </c>
      <c r="T36" s="2268"/>
      <c r="U36" s="1374"/>
      <c r="V36" s="2270" t="str">
        <f>IF(TITLE_NUMBER_PR_CHANGE="",IF(TITLE_NUMBER_PR="","",TITLE_NUMBER_PR),TITLE_NUMBER_PR_CHANGE)</f>
        <v/>
      </c>
      <c r="W36" s="2270"/>
      <c r="X36" s="2270"/>
      <c r="Y36" s="2270"/>
      <c r="Z36" s="2270"/>
      <c r="AA36" s="328"/>
      <c r="AB36" s="2270" t="str">
        <f>IF(TITLE_NUMBER_PR_CHANGE="",IF(TITLE_NUMBER_PR="","",TITLE_NUMBER_PR),TITLE_NUMBER_PR_CHANGE)</f>
        <v/>
      </c>
      <c r="AC36" s="2270"/>
      <c r="AD36" s="2270"/>
      <c r="AE36" s="2270"/>
      <c r="AF36" s="2270"/>
      <c r="AG36" s="2270"/>
      <c r="AH36" s="2270"/>
      <c r="AI36" s="2270"/>
      <c r="AJ36" s="2270"/>
      <c r="AK36" s="2270"/>
      <c r="AL36" s="2270"/>
      <c r="AM36" s="2270"/>
      <c r="AN36" s="2270"/>
      <c r="AO36" s="2270"/>
      <c r="AP36" s="2270"/>
      <c r="AQ36" s="2270"/>
      <c r="AR36" s="2270"/>
      <c r="AS36" s="328"/>
      <c r="AT36" s="328"/>
      <c r="AU36" s="282"/>
      <c r="AV36" s="370"/>
      <c r="AW36" s="370"/>
      <c r="AX36" s="370"/>
      <c r="AY36" s="370"/>
      <c r="AZ36" s="370"/>
      <c r="BA36" s="420">
        <v>0</v>
      </c>
    </row>
    <row s="1852"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418</v>
      </c>
      <c r="AB37" s="328"/>
      <c r="AC37" s="328"/>
      <c r="AD37" s="328"/>
      <c r="AE37" s="328"/>
      <c r="AF37" s="328"/>
      <c r="AG37" s="328"/>
      <c r="AH37" s="328"/>
      <c r="AI37" s="328"/>
      <c r="AJ37" s="328"/>
      <c r="AK37" s="328"/>
      <c r="AL37" s="328"/>
      <c r="AM37" s="328"/>
      <c r="AN37" s="328"/>
      <c r="AO37" s="328"/>
      <c r="AP37" s="328"/>
      <c r="AQ37" s="328"/>
      <c r="AR37" s="328"/>
      <c r="AS37" s="280" t="s">
        <v>418</v>
      </c>
      <c r="AV37" s="370"/>
      <c r="AW37" s="370"/>
      <c r="AX37" s="370"/>
      <c r="AY37" s="370"/>
      <c r="AZ37" s="370"/>
      <c r="BA37" s="420">
        <v>1</v>
      </c>
    </row>
    <row customHeight="1" ht="14.699999999999998">
      <c r="Q38" s="293"/>
      <c r="R38" s="378"/>
      <c r="S38" s="1277"/>
      <c r="T38" s="365"/>
      <c r="U38" s="1246"/>
      <c r="V38" s="2294"/>
      <c r="W38" s="2294"/>
      <c r="X38" s="2294"/>
      <c r="Y38" s="2294"/>
      <c r="Z38" s="2294"/>
      <c r="AA38" s="2294"/>
      <c r="AB38" s="2294"/>
      <c r="AC38" s="2294"/>
      <c r="AD38" s="2294"/>
      <c r="AE38" s="2294"/>
      <c r="AF38" s="2294"/>
      <c r="AG38" s="2294"/>
      <c r="AH38" s="2294"/>
      <c r="AI38" s="2294"/>
      <c r="AJ38" s="2294"/>
      <c r="AK38" s="2294"/>
      <c r="AL38" s="2294"/>
      <c r="AM38" s="2294"/>
      <c r="AN38" s="2294"/>
      <c r="AO38" s="2294"/>
      <c r="AP38" s="2294"/>
      <c r="AQ38" s="2294"/>
      <c r="AR38" s="2294"/>
      <c r="AS38" s="2294"/>
      <c r="BA38" s="1157">
        <v>14</v>
      </c>
    </row>
    <row customHeight="1" ht="14.699999999999998">
      <c r="Q39" s="293"/>
      <c r="R39" s="378"/>
      <c r="S39" s="2140" t="s">
        <v>295</v>
      </c>
      <c r="T39" s="2140"/>
      <c r="U39" s="2140"/>
      <c r="V39" s="2140"/>
      <c r="W39" s="2140"/>
      <c r="X39" s="2140"/>
      <c r="Y39" s="2140"/>
      <c r="Z39" s="2140"/>
      <c r="AA39" s="2140"/>
      <c r="AB39" s="2199"/>
      <c r="AC39" s="2199"/>
      <c r="AD39" s="2199"/>
      <c r="AE39" s="2199"/>
      <c r="AF39" s="2140"/>
      <c r="AG39" s="2140"/>
      <c r="AH39" s="2140"/>
      <c r="AI39" s="2140"/>
      <c r="AJ39" s="2140"/>
      <c r="AK39" s="2140"/>
      <c r="AL39" s="2140"/>
      <c r="AM39" s="2140"/>
      <c r="AN39" s="2140"/>
      <c r="AO39" s="2140"/>
      <c r="AP39" s="2140"/>
      <c r="AQ39" s="2140"/>
      <c r="AR39" s="2140"/>
      <c r="AS39" s="2140"/>
      <c r="AT39" s="2140"/>
      <c r="AU39" s="2140" t="s">
        <v>296</v>
      </c>
      <c r="BA39" s="1157">
        <v>14</v>
      </c>
    </row>
    <row customHeight="1" ht="14.699999999999998">
      <c r="Q40" s="293"/>
      <c r="R40" s="378"/>
      <c r="S40" s="2295" t="s">
        <v>88</v>
      </c>
      <c r="T40" s="2232" t="s">
        <v>464</v>
      </c>
      <c r="U40" s="303"/>
      <c r="V40" s="2297"/>
      <c r="W40" s="2297"/>
      <c r="X40" s="2297"/>
      <c r="Y40" s="2297"/>
      <c r="Z40" s="2298"/>
      <c r="AA40" s="2366" t="s">
        <v>421</v>
      </c>
      <c r="AB40" s="2350" t="s">
        <v>465</v>
      </c>
      <c r="AC40" s="2318"/>
      <c r="AD40" s="2318"/>
      <c r="AE40" s="2351"/>
      <c r="AF40" s="2318" t="s">
        <v>466</v>
      </c>
      <c r="AG40" s="2318"/>
      <c r="AH40" s="2318"/>
      <c r="AI40" s="2351"/>
      <c r="AJ40" s="2350" t="s">
        <v>467</v>
      </c>
      <c r="AK40" s="2318"/>
      <c r="AL40" s="2318"/>
      <c r="AM40" s="2351"/>
      <c r="AN40" s="2350" t="s">
        <v>420</v>
      </c>
      <c r="AO40" s="2318"/>
      <c r="AP40" s="2297"/>
      <c r="AQ40" s="2297"/>
      <c r="AR40" s="2298"/>
      <c r="AS40" s="2299" t="s">
        <v>421</v>
      </c>
      <c r="AT40" s="2302" t="s">
        <v>423</v>
      </c>
      <c r="AU40" s="2140"/>
      <c r="BA40" s="1157">
        <v>14</v>
      </c>
    </row>
    <row customHeight="1" ht="35.699999999999996">
      <c r="Q41" s="293"/>
      <c r="R41" s="378"/>
      <c r="S41" s="2295"/>
      <c r="T41" s="2232"/>
      <c r="U41" s="1033"/>
      <c r="V41" s="2140" t="s">
        <v>468</v>
      </c>
      <c r="W41" s="2140"/>
      <c r="X41" s="2316" t="s">
        <v>427</v>
      </c>
      <c r="Y41" s="2341"/>
      <c r="Z41" s="2342"/>
      <c r="AA41" s="2367"/>
      <c r="AB41" s="2352"/>
      <c r="AC41" s="2353"/>
      <c r="AD41" s="2353"/>
      <c r="AE41" s="2365"/>
      <c r="AF41" s="2353"/>
      <c r="AG41" s="2353"/>
      <c r="AH41" s="2353"/>
      <c r="AI41" s="2365"/>
      <c r="AJ41" s="2352"/>
      <c r="AK41" s="2353"/>
      <c r="AL41" s="2353"/>
      <c r="AM41" s="2353"/>
      <c r="AN41" s="2140" t="s">
        <v>468</v>
      </c>
      <c r="AO41" s="2140"/>
      <c r="AP41" s="2341" t="s">
        <v>427</v>
      </c>
      <c r="AQ41" s="2341"/>
      <c r="AR41" s="2342"/>
      <c r="AS41" s="2300"/>
      <c r="AT41" s="2303"/>
      <c r="AU41" s="2140"/>
      <c r="BA41" s="1157">
        <v>34</v>
      </c>
    </row>
    <row customHeight="1" ht="14.699999999999998">
      <c r="Q42" s="293"/>
      <c r="R42" s="378"/>
      <c r="S42" s="2295"/>
      <c r="T42" s="2232"/>
      <c r="U42" s="1033"/>
      <c r="V42" s="2370" t="str">
        <f>IF($AN$42&lt;&gt;"",$AN$42,"")</f>
        <v/>
      </c>
      <c r="W42" s="2370"/>
      <c r="X42" s="2317"/>
      <c r="Y42" s="2343"/>
      <c r="Z42" s="2344"/>
      <c r="AA42" s="2367"/>
      <c r="AB42" s="2352"/>
      <c r="AC42" s="2353"/>
      <c r="AD42" s="2353"/>
      <c r="AE42" s="2365"/>
      <c r="AF42" s="2353"/>
      <c r="AG42" s="2353"/>
      <c r="AH42" s="2353"/>
      <c r="AI42" s="2365"/>
      <c r="AJ42" s="2352"/>
      <c r="AK42" s="2353"/>
      <c r="AL42" s="2353"/>
      <c r="AM42" s="2353"/>
      <c r="AN42" s="2369"/>
      <c r="AO42" s="2369"/>
      <c r="AP42" s="2343"/>
      <c r="AQ42" s="2343"/>
      <c r="AR42" s="2344"/>
      <c r="AS42" s="2300"/>
      <c r="AT42" s="2303"/>
      <c r="AU42" s="2140"/>
      <c r="BA42" s="1157">
        <v>14</v>
      </c>
    </row>
    <row customHeight="1" ht="14.699999999999998">
      <c r="A43" s="1372"/>
      <c r="B43" s="1372" t="s">
        <v>132</v>
      </c>
      <c r="C43" s="1372" t="s">
        <v>133</v>
      </c>
      <c r="D43" s="1372" t="s">
        <v>134</v>
      </c>
      <c r="E43" s="1366" t="s">
        <v>428</v>
      </c>
      <c r="F43" s="1366" t="s">
        <v>429</v>
      </c>
      <c r="G43" s="1366" t="s">
        <v>430</v>
      </c>
      <c r="H43" s="1366" t="s">
        <v>431</v>
      </c>
      <c r="I43" s="1366" t="s">
        <v>432</v>
      </c>
      <c r="J43" s="1366" t="s">
        <v>433</v>
      </c>
      <c r="K43" s="1366" t="s">
        <v>434</v>
      </c>
      <c r="L43" s="1366" t="s">
        <v>413</v>
      </c>
      <c r="Q43" s="293"/>
      <c r="R43" s="378"/>
      <c r="S43" s="2295"/>
      <c r="T43" s="2232"/>
      <c r="U43" s="304"/>
      <c r="V43" s="1332" t="s">
        <v>469</v>
      </c>
      <c r="W43" s="1332" t="s">
        <v>470</v>
      </c>
      <c r="X43" s="1340" t="s">
        <v>437</v>
      </c>
      <c r="Y43" s="2291" t="s">
        <v>438</v>
      </c>
      <c r="Z43" s="2292"/>
      <c r="AA43" s="2368"/>
      <c r="AB43" s="2354"/>
      <c r="AC43" s="2355"/>
      <c r="AD43" s="2355"/>
      <c r="AE43" s="2356"/>
      <c r="AF43" s="2355"/>
      <c r="AG43" s="2355"/>
      <c r="AH43" s="2355"/>
      <c r="AI43" s="2356"/>
      <c r="AJ43" s="2354"/>
      <c r="AK43" s="2355"/>
      <c r="AL43" s="2355"/>
      <c r="AM43" s="2356"/>
      <c r="AN43" s="1859" t="s">
        <v>469</v>
      </c>
      <c r="AO43" s="1859" t="s">
        <v>470</v>
      </c>
      <c r="AP43" s="1340" t="s">
        <v>437</v>
      </c>
      <c r="AQ43" s="2291" t="s">
        <v>438</v>
      </c>
      <c r="AR43" s="2292"/>
      <c r="AS43" s="2301"/>
      <c r="AT43" s="2304"/>
      <c r="AU43" s="2140"/>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106</v>
      </c>
      <c r="T44" s="1257" t="s">
        <v>107</v>
      </c>
      <c r="U44" s="1247" t="str">
        <f>OFFSET(U44,0,-1)</f>
        <v>2</v>
      </c>
      <c r="V44" s="1337">
        <f>OFFSET(V44,0,-1)+1</f>
        <v>3</v>
      </c>
      <c r="W44" s="1337">
        <f>OFFSET(W44,0,-1)+1</f>
        <v>4</v>
      </c>
      <c r="X44" s="1337">
        <f>OFFSET(X44,0,-1)+1</f>
        <v>5</v>
      </c>
      <c r="Y44" s="2293">
        <f>OFFSET(Y44,0,-1)+1</f>
        <v>6</v>
      </c>
      <c r="Z44" s="2293"/>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93">
        <f>OFFSET(AQ44,0,-1)+1</f>
        <v>4</v>
      </c>
      <c r="AR44" s="2293"/>
      <c r="AS44" s="1337">
        <f>OFFSET(AS44,0,-2)+1</f>
        <v>5</v>
      </c>
      <c r="AT44" s="1247">
        <f>OFFSET(AT44,0,-1)</f>
        <v>5</v>
      </c>
      <c r="AU44" s="1337">
        <f>OFFSET(AU44,0,-1)+1</f>
        <v>6</v>
      </c>
      <c r="AV44" s="513"/>
      <c r="AW44" s="513"/>
      <c r="AX44" s="513"/>
      <c r="AY44" s="513"/>
      <c r="AZ44" s="513"/>
      <c r="BA44" s="498">
        <v>0</v>
      </c>
    </row>
    <row customHeight="1" ht="107.25">
      <c r="A45" s="1365" t="s">
        <v>195</v>
      </c>
      <c r="B45" s="1365"/>
      <c r="C45" s="1365"/>
      <c r="D45" s="1365"/>
      <c r="E45" s="2277">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120</v>
      </c>
      <c r="U45" s="302"/>
      <c r="V45" s="2272"/>
      <c r="W45" s="2272"/>
      <c r="X45" s="2272"/>
      <c r="Y45" s="2272"/>
      <c r="Z45" s="2272"/>
      <c r="AA45" s="2273"/>
      <c r="AB45" s="2271" t="str">
        <f>INDEX(PT_DIFFERENTIATION_NTAR,MATCH(A45,PT_DIFFERENTIATION_NTAR_ID,0))</f>
        <v/>
      </c>
      <c r="AC45" s="2272"/>
      <c r="AD45" s="2272"/>
      <c r="AE45" s="2272"/>
      <c r="AF45" s="2272"/>
      <c r="AG45" s="2272"/>
      <c r="AH45" s="2272"/>
      <c r="AI45" s="2272"/>
      <c r="AJ45" s="2272"/>
      <c r="AK45" s="2272"/>
      <c r="AL45" s="2272"/>
      <c r="AM45" s="2272"/>
      <c r="AN45" s="2272"/>
      <c r="AO45" s="2272"/>
      <c r="AP45" s="2272"/>
      <c r="AQ45" s="2272"/>
      <c r="AR45" s="2272"/>
      <c r="AS45" s="2272"/>
      <c r="AT45" s="2273"/>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195</v>
      </c>
      <c r="B46" s="1365" t="s">
        <v>196</v>
      </c>
      <c r="C46" s="1365"/>
      <c r="D46" s="1365"/>
      <c r="E46" s="2278"/>
      <c r="F46" s="2277">
        <v>1</v>
      </c>
      <c r="G46" s="1365"/>
      <c r="H46" s="1365"/>
      <c r="I46" s="1365"/>
      <c r="J46" s="1365"/>
      <c r="K46" s="1365"/>
      <c r="L46" s="1366"/>
      <c r="M46" s="1367"/>
      <c r="N46" s="1367"/>
      <c r="O46" s="1367"/>
      <c r="P46" s="1412"/>
      <c r="Q46" s="1413"/>
      <c r="R46" s="355"/>
      <c r="S46" s="1338" t="str">
        <f>INDEX(PT_DIFFERENTIATION_NUM_TER,MATCH(B46,PT_DIFFERENTIATION_TER_ID,0))</f>
        <v>.</v>
      </c>
      <c r="T46" s="310" t="s">
        <v>392</v>
      </c>
      <c r="U46" s="302"/>
      <c r="V46" s="2272"/>
      <c r="W46" s="2272"/>
      <c r="X46" s="2272"/>
      <c r="Y46" s="2272"/>
      <c r="Z46" s="2272"/>
      <c r="AA46" s="2273"/>
      <c r="AB46" s="2271" t="str">
        <f>INDEX(PT_DIFFERENTIATION_TER,MATCH(B46,PT_DIFFERENTIATION_TER_ID,0))</f>
        <v/>
      </c>
      <c r="AC46" s="2272"/>
      <c r="AD46" s="2272"/>
      <c r="AE46" s="2272"/>
      <c r="AF46" s="2272"/>
      <c r="AG46" s="2272"/>
      <c r="AH46" s="2272"/>
      <c r="AI46" s="2272"/>
      <c r="AJ46" s="2272"/>
      <c r="AK46" s="2272"/>
      <c r="AL46" s="2272"/>
      <c r="AM46" s="2272"/>
      <c r="AN46" s="2272"/>
      <c r="AO46" s="2272"/>
      <c r="AP46" s="2272"/>
      <c r="AQ46" s="2272"/>
      <c r="AR46" s="2272"/>
      <c r="AS46" s="2272"/>
      <c r="AT46" s="2273"/>
      <c r="AU46" s="1260" t="s">
        <v>393</v>
      </c>
      <c r="AW46" s="502"/>
      <c r="AX46" s="502" t="str">
        <f>IF(T46="","",T46)</f>
        <v>Территория действия тарифа</v>
      </c>
      <c r="AY46" s="502"/>
      <c r="AZ46" s="502"/>
      <c r="BA46" s="1157">
        <v>21</v>
      </c>
    </row>
    <row customHeight="1" ht="24">
      <c r="A47" s="1365" t="s">
        <v>195</v>
      </c>
      <c r="B47" s="1365" t="s">
        <v>196</v>
      </c>
      <c r="C47" s="1365" t="s">
        <v>197</v>
      </c>
      <c r="D47" s="1365"/>
      <c r="E47" s="2278"/>
      <c r="F47" s="2278"/>
      <c r="G47" s="2277">
        <v>1</v>
      </c>
      <c r="H47" s="1365"/>
      <c r="I47" s="1365"/>
      <c r="J47" s="1365"/>
      <c r="K47" s="1365"/>
      <c r="L47" s="1366"/>
      <c r="M47" s="1367"/>
      <c r="N47" s="1367"/>
      <c r="O47" s="1367"/>
      <c r="P47" s="1414"/>
      <c r="Q47" s="1413"/>
      <c r="R47" s="355"/>
      <c r="S47" s="1338" t="str">
        <f>INDEX(PT_DIFFERENTIATION_NUM_CS,MATCH(C47,PT_DIFFERENTIATION_CS_ID,0))</f>
        <v>..</v>
      </c>
      <c r="T47" s="311" t="s">
        <v>394</v>
      </c>
      <c r="U47" s="302"/>
      <c r="V47" s="2272"/>
      <c r="W47" s="2272"/>
      <c r="X47" s="2272"/>
      <c r="Y47" s="2272"/>
      <c r="Z47" s="2272"/>
      <c r="AA47" s="2273"/>
      <c r="AB47" s="2271" t="str">
        <f>INDEX(PT_DIFFERENTIATION_CS,MATCH(C47,PT_DIFFERENTIATION_CS_ID,0))</f>
        <v/>
      </c>
      <c r="AC47" s="2272"/>
      <c r="AD47" s="2272"/>
      <c r="AE47" s="2272"/>
      <c r="AF47" s="2272"/>
      <c r="AG47" s="2272"/>
      <c r="AH47" s="2272"/>
      <c r="AI47" s="2272"/>
      <c r="AJ47" s="2272"/>
      <c r="AK47" s="2272"/>
      <c r="AL47" s="2272"/>
      <c r="AM47" s="2272"/>
      <c r="AN47" s="2272"/>
      <c r="AO47" s="2272"/>
      <c r="AP47" s="2272"/>
      <c r="AQ47" s="2272"/>
      <c r="AR47" s="2272"/>
      <c r="AS47" s="2272"/>
      <c r="AT47" s="2273"/>
      <c r="AU47" s="1260" t="s">
        <v>395</v>
      </c>
      <c r="AW47" s="502"/>
      <c r="AX47" s="502" t="str">
        <f>IF(T47="","",T47)</f>
        <v>Наименование системы теплоснабжения </v>
      </c>
      <c r="AY47" s="502"/>
      <c r="AZ47" s="502"/>
      <c r="BA47" s="1157">
        <v>23</v>
      </c>
    </row>
    <row customHeight="1" ht="21">
      <c r="A48" s="1365" t="s">
        <v>195</v>
      </c>
      <c r="B48" s="1365" t="s">
        <v>196</v>
      </c>
      <c r="C48" s="1365" t="s">
        <v>197</v>
      </c>
      <c r="D48" s="1365" t="s">
        <v>198</v>
      </c>
      <c r="E48" s="2278"/>
      <c r="F48" s="2278"/>
      <c r="G48" s="2278"/>
      <c r="H48" s="2277">
        <v>1</v>
      </c>
      <c r="I48" s="1365"/>
      <c r="J48" s="1365"/>
      <c r="K48" s="1365"/>
      <c r="L48" s="1366"/>
      <c r="M48" s="1367"/>
      <c r="N48" s="1367"/>
      <c r="O48" s="1367"/>
      <c r="P48" s="1414"/>
      <c r="Q48" s="1413"/>
      <c r="R48" s="355"/>
      <c r="S48" s="1338" t="str">
        <f>INDEX(PT_DIFFERENTIATION_NUM_IST_TE,MATCH(D48,PT_DIFFERENTIATION_IST_TE_ID,0))</f>
        <v>...</v>
      </c>
      <c r="T48" s="312" t="s">
        <v>396</v>
      </c>
      <c r="U48" s="302"/>
      <c r="V48" s="2272"/>
      <c r="W48" s="2272"/>
      <c r="X48" s="2272"/>
      <c r="Y48" s="2272"/>
      <c r="Z48" s="2272"/>
      <c r="AA48" s="2273"/>
      <c r="AB48" s="2271" t="str">
        <f>INDEX(PT_DIFFERENTIATION_IST_TE,MATCH(D48,PT_DIFFERENTIATION_IST_TE_ID,0))</f>
        <v/>
      </c>
      <c r="AC48" s="2272"/>
      <c r="AD48" s="2272"/>
      <c r="AE48" s="2272"/>
      <c r="AF48" s="2272"/>
      <c r="AG48" s="2272"/>
      <c r="AH48" s="2272"/>
      <c r="AI48" s="2272"/>
      <c r="AJ48" s="2272"/>
      <c r="AK48" s="2272"/>
      <c r="AL48" s="2272"/>
      <c r="AM48" s="2272"/>
      <c r="AN48" s="2272"/>
      <c r="AO48" s="2272"/>
      <c r="AP48" s="2272"/>
      <c r="AQ48" s="2272"/>
      <c r="AR48" s="2272"/>
      <c r="AS48" s="2272"/>
      <c r="AT48" s="2273"/>
      <c r="AU48" s="1260" t="s">
        <v>397</v>
      </c>
      <c r="AW48" s="502"/>
      <c r="AX48" s="502" t="str">
        <f>IF(T48="","",T48)</f>
        <v>Источник тепловой энергии  </v>
      </c>
      <c r="AY48" s="502"/>
      <c r="AZ48" s="502"/>
      <c r="BA48" s="1157">
        <v>20</v>
      </c>
    </row>
    <row s="1644" customFormat="1" customHeight="1" ht="1.05">
      <c r="A49" s="1345" t="s">
        <v>195</v>
      </c>
      <c r="B49" s="1345" t="s">
        <v>196</v>
      </c>
      <c r="C49" s="1345" t="s">
        <v>197</v>
      </c>
      <c r="D49" s="1345" t="s">
        <v>198</v>
      </c>
      <c r="E49" s="2278"/>
      <c r="F49" s="2278"/>
      <c r="G49" s="2278"/>
      <c r="H49" s="2278"/>
      <c r="I49" s="2279" t="str">
        <f>S48&amp;".1"</f>
        <v>....1</v>
      </c>
      <c r="J49" s="1345"/>
      <c r="K49" s="1345"/>
      <c r="L49" s="1348" t="s">
        <v>398</v>
      </c>
      <c r="M49" s="512"/>
      <c r="N49" s="512"/>
      <c r="O49" s="512"/>
      <c r="P49" s="2281">
        <v>1</v>
      </c>
      <c r="Q49" s="1333"/>
      <c r="R49" s="358"/>
      <c r="S49" s="1044"/>
      <c r="T49" s="1385"/>
      <c r="U49" s="1386"/>
      <c r="V49" s="2320"/>
      <c r="W49" s="2320"/>
      <c r="X49" s="2320"/>
      <c r="Y49" s="2320"/>
      <c r="Z49" s="2320"/>
      <c r="AA49" s="2321"/>
      <c r="AB49" s="2319"/>
      <c r="AC49" s="2320"/>
      <c r="AD49" s="2320"/>
      <c r="AE49" s="2320"/>
      <c r="AF49" s="2320"/>
      <c r="AG49" s="2320"/>
      <c r="AH49" s="2320"/>
      <c r="AI49" s="2320"/>
      <c r="AJ49" s="2320"/>
      <c r="AK49" s="2320"/>
      <c r="AL49" s="2320"/>
      <c r="AM49" s="2320"/>
      <c r="AN49" s="2320"/>
      <c r="AO49" s="2320"/>
      <c r="AP49" s="2320"/>
      <c r="AQ49" s="2320"/>
      <c r="AR49" s="2320"/>
      <c r="AS49" s="2320"/>
      <c r="AT49" s="2321"/>
      <c r="AU49" s="1387"/>
      <c r="AW49" s="502"/>
      <c r="AX49" s="502" t="str">
        <f>IF(T49="","",T49)</f>
        <v/>
      </c>
      <c r="AY49" s="502"/>
      <c r="AZ49" s="502"/>
      <c r="BA49" s="513">
        <v>1</v>
      </c>
    </row>
    <row s="1644" customFormat="1" customHeight="1" ht="1.05">
      <c r="A50" s="1345" t="s">
        <v>195</v>
      </c>
      <c r="B50" s="1345" t="s">
        <v>196</v>
      </c>
      <c r="C50" s="1345" t="s">
        <v>197</v>
      </c>
      <c r="D50" s="1345" t="s">
        <v>198</v>
      </c>
      <c r="E50" s="2278"/>
      <c r="F50" s="2278"/>
      <c r="G50" s="2278"/>
      <c r="H50" s="2278"/>
      <c r="I50" s="2280"/>
      <c r="J50" s="2279" t="str">
        <f>S48&amp;".1"</f>
        <v>....1</v>
      </c>
      <c r="K50" s="1345"/>
      <c r="L50" s="1348"/>
      <c r="M50" s="512"/>
      <c r="N50" s="512"/>
      <c r="O50" s="512"/>
      <c r="P50" s="2281"/>
      <c r="Q50" s="2281">
        <v>1</v>
      </c>
      <c r="R50" s="359"/>
      <c r="S50" s="1044"/>
      <c r="T50" s="1401"/>
      <c r="U50" s="1386"/>
      <c r="V50" s="2320"/>
      <c r="W50" s="2320"/>
      <c r="X50" s="2320"/>
      <c r="Y50" s="2320"/>
      <c r="Z50" s="2320"/>
      <c r="AA50" s="2321"/>
      <c r="AB50" s="2319"/>
      <c r="AC50" s="2320"/>
      <c r="AD50" s="2320"/>
      <c r="AE50" s="2320"/>
      <c r="AF50" s="2320"/>
      <c r="AG50" s="2320"/>
      <c r="AH50" s="2320"/>
      <c r="AI50" s="2320"/>
      <c r="AJ50" s="2320"/>
      <c r="AK50" s="2320"/>
      <c r="AL50" s="2320"/>
      <c r="AM50" s="2320"/>
      <c r="AN50" s="2320"/>
      <c r="AO50" s="2320"/>
      <c r="AP50" s="2320"/>
      <c r="AQ50" s="2320"/>
      <c r="AR50" s="2320"/>
      <c r="AS50" s="2320"/>
      <c r="AT50" s="2321"/>
      <c r="AU50" s="1387"/>
      <c r="AW50" s="502"/>
      <c r="AX50" s="502" t="str">
        <f>IF(T50="","",T50)</f>
        <v/>
      </c>
      <c r="AY50" s="502"/>
      <c r="AZ50" s="502"/>
      <c r="BA50" s="513">
        <v>1</v>
      </c>
    </row>
    <row customHeight="1" ht="22.049999999999997">
      <c r="A51" s="1365" t="s">
        <v>195</v>
      </c>
      <c r="B51" s="1365" t="s">
        <v>196</v>
      </c>
      <c r="C51" s="1365" t="s">
        <v>197</v>
      </c>
      <c r="D51" s="1365" t="s">
        <v>198</v>
      </c>
      <c r="E51" s="2278"/>
      <c r="F51" s="2278"/>
      <c r="G51" s="2278"/>
      <c r="H51" s="2278"/>
      <c r="I51" s="2280"/>
      <c r="J51" s="2280"/>
      <c r="K51" s="2279" t="str">
        <f>S48&amp;".1"</f>
        <v>....1</v>
      </c>
      <c r="L51" s="1366"/>
      <c r="P51" s="2281"/>
      <c r="Q51" s="2281"/>
      <c r="R51" s="359">
        <v>1</v>
      </c>
      <c r="S51" s="2361" t="str">
        <f>$K51</f>
        <v>....1</v>
      </c>
      <c r="T51" s="2358"/>
      <c r="U51" s="302"/>
      <c r="V51" s="753"/>
      <c r="W51" s="1259"/>
      <c r="X51" s="1735"/>
      <c r="Y51" s="1461" t="s">
        <v>65</v>
      </c>
      <c r="Z51" s="1735"/>
      <c r="AA51" s="1461" t="s">
        <v>65</v>
      </c>
      <c r="AB51" s="2150" t="s">
        <v>19</v>
      </c>
      <c r="AC51" s="2357"/>
      <c r="AD51" s="2228">
        <v>1</v>
      </c>
      <c r="AE51" s="2349" t="s">
        <v>22</v>
      </c>
      <c r="AF51" s="2150" t="s">
        <v>19</v>
      </c>
      <c r="AG51" s="2357"/>
      <c r="AH51" s="2228">
        <v>1</v>
      </c>
      <c r="AI51" s="2349" t="s">
        <v>22</v>
      </c>
      <c r="AJ51" s="2150" t="s">
        <v>19</v>
      </c>
      <c r="AK51" s="313"/>
      <c r="AL51" s="1339">
        <v>1</v>
      </c>
      <c r="AM51" s="1404"/>
      <c r="AN51" s="753"/>
      <c r="AO51" s="1259"/>
      <c r="AP51" s="1735"/>
      <c r="AQ51" s="1461" t="s">
        <v>65</v>
      </c>
      <c r="AR51" s="1735"/>
      <c r="AS51" s="1461" t="s">
        <v>65</v>
      </c>
      <c r="AT51" s="1350"/>
      <c r="AU51" s="2307" t="s">
        <v>471</v>
      </c>
      <c r="AV51" s="513">
        <f>STRCHECKDATE(V54:AT54)</f>
      </c>
      <c r="AW51" s="502"/>
      <c r="AX51" s="502" t="str">
        <f>IF(T51="","",T51)</f>
        <v/>
      </c>
      <c r="AY51" s="502"/>
      <c r="AZ51" s="502"/>
      <c r="BA51" s="1157">
        <v>21</v>
      </c>
    </row>
    <row customHeight="1" ht="11.549999999999999">
      <c r="A52" s="1365" t="s">
        <v>195</v>
      </c>
      <c r="B52" s="1365"/>
      <c r="C52" s="1365"/>
      <c r="D52" s="1365"/>
      <c r="E52" s="2278"/>
      <c r="F52" s="2278"/>
      <c r="G52" s="2278"/>
      <c r="H52" s="2278"/>
      <c r="I52" s="2280"/>
      <c r="J52" s="2280"/>
      <c r="K52" s="2279"/>
      <c r="L52" s="1366"/>
      <c r="P52" s="2281"/>
      <c r="Q52" s="2281"/>
      <c r="R52" s="359"/>
      <c r="S52" s="2362"/>
      <c r="T52" s="2359"/>
      <c r="U52" s="302"/>
      <c r="V52" s="1395"/>
      <c r="W52" s="1498"/>
      <c r="X52" s="1395"/>
      <c r="Y52" s="1395"/>
      <c r="Z52" s="1395"/>
      <c r="AA52" s="1395"/>
      <c r="AB52" s="2150"/>
      <c r="AC52" s="2357"/>
      <c r="AD52" s="2228"/>
      <c r="AE52" s="2349"/>
      <c r="AF52" s="2150"/>
      <c r="AG52" s="2357"/>
      <c r="AH52" s="2228"/>
      <c r="AI52" s="2349"/>
      <c r="AJ52" s="2150"/>
      <c r="AK52" s="318"/>
      <c r="AL52" s="418"/>
      <c r="AM52" s="417" t="s">
        <v>456</v>
      </c>
      <c r="AN52" s="1395"/>
      <c r="AO52" s="1498"/>
      <c r="AP52" s="1395"/>
      <c r="AQ52" s="1395"/>
      <c r="AR52" s="1395"/>
      <c r="AS52" s="1395"/>
      <c r="AT52" s="1392"/>
      <c r="AU52" s="2308"/>
      <c r="AW52" s="502"/>
      <c r="AX52" s="502"/>
      <c r="AY52" s="502"/>
      <c r="AZ52" s="502"/>
      <c r="BA52" s="1157">
        <v>11</v>
      </c>
    </row>
    <row customHeight="1" ht="11.549999999999999">
      <c r="A53" s="1365" t="s">
        <v>195</v>
      </c>
      <c r="B53" s="1365"/>
      <c r="C53" s="1365"/>
      <c r="D53" s="1365"/>
      <c r="E53" s="2278"/>
      <c r="F53" s="2278"/>
      <c r="G53" s="2278"/>
      <c r="H53" s="2278"/>
      <c r="I53" s="2280"/>
      <c r="J53" s="2280"/>
      <c r="K53" s="2279"/>
      <c r="L53" s="1366"/>
      <c r="P53" s="2281"/>
      <c r="Q53" s="2281"/>
      <c r="R53" s="359"/>
      <c r="S53" s="2362"/>
      <c r="T53" s="2359"/>
      <c r="U53" s="302"/>
      <c r="V53" s="1395"/>
      <c r="W53" s="1498"/>
      <c r="X53" s="1395"/>
      <c r="Y53" s="1395"/>
      <c r="Z53" s="1395"/>
      <c r="AA53" s="1395"/>
      <c r="AB53" s="2150"/>
      <c r="AC53" s="2357"/>
      <c r="AD53" s="2228"/>
      <c r="AE53" s="2349"/>
      <c r="AF53" s="2150"/>
      <c r="AG53" s="296"/>
      <c r="AH53" s="417"/>
      <c r="AI53" s="417" t="s">
        <v>457</v>
      </c>
      <c r="AJ53" s="1395"/>
      <c r="AK53" s="1395"/>
      <c r="AL53" s="1395"/>
      <c r="AM53" s="1395"/>
      <c r="AN53" s="1395"/>
      <c r="AO53" s="1498"/>
      <c r="AP53" s="1395"/>
      <c r="AQ53" s="1395"/>
      <c r="AR53" s="1395"/>
      <c r="AS53" s="1395"/>
      <c r="AT53" s="1392"/>
      <c r="AU53" s="2308"/>
      <c r="AW53" s="502"/>
      <c r="AX53" s="502"/>
      <c r="AY53" s="502"/>
      <c r="AZ53" s="502"/>
      <c r="BA53" s="1157">
        <v>11</v>
      </c>
    </row>
    <row customHeight="1" ht="11.549999999999999">
      <c r="A54" s="1365" t="s">
        <v>195</v>
      </c>
      <c r="B54" s="1365" t="s">
        <v>196</v>
      </c>
      <c r="C54" s="1365" t="s">
        <v>197</v>
      </c>
      <c r="D54" s="1365" t="s">
        <v>198</v>
      </c>
      <c r="E54" s="2278"/>
      <c r="F54" s="2278"/>
      <c r="G54" s="2278"/>
      <c r="H54" s="2278"/>
      <c r="I54" s="2280"/>
      <c r="J54" s="2280"/>
      <c r="K54" s="2279"/>
      <c r="L54" s="1366"/>
      <c r="P54" s="2281"/>
      <c r="Q54" s="2281"/>
      <c r="R54" s="359"/>
      <c r="S54" s="2363"/>
      <c r="T54" s="2360"/>
      <c r="U54" s="302"/>
      <c r="V54" s="1395"/>
      <c r="W54" s="1396" t="str">
        <f>X51&amp;"-"&amp;Z51</f>
        <v>-</v>
      </c>
      <c r="X54" s="1395"/>
      <c r="Y54" s="1395"/>
      <c r="Z54" s="1395"/>
      <c r="AA54" s="1395"/>
      <c r="AB54" s="2150"/>
      <c r="AC54" s="314"/>
      <c r="AD54" s="316"/>
      <c r="AE54" s="417" t="s">
        <v>458</v>
      </c>
      <c r="AF54" s="1395"/>
      <c r="AG54" s="1395"/>
      <c r="AH54" s="1395"/>
      <c r="AI54" s="1395"/>
      <c r="AJ54" s="1395"/>
      <c r="AK54" s="1395"/>
      <c r="AL54" s="1395"/>
      <c r="AM54" s="1395"/>
      <c r="AN54" s="1395"/>
      <c r="AO54" s="1396" t="str">
        <f>AP51&amp;"-"&amp;AR51</f>
        <v>-</v>
      </c>
      <c r="AP54" s="1395"/>
      <c r="AQ54" s="1395"/>
      <c r="AR54" s="1395"/>
      <c r="AS54" s="1395"/>
      <c r="AT54" s="1351"/>
      <c r="AU54" s="2308"/>
      <c r="AW54" s="502"/>
      <c r="AX54" s="502" t="str">
        <f>IF(T54="","",T54)</f>
        <v/>
      </c>
      <c r="AY54" s="502"/>
      <c r="AZ54" s="502"/>
      <c r="BA54" s="1157">
        <v>11</v>
      </c>
    </row>
    <row customHeight="1" ht="11.549999999999999">
      <c r="A55" s="1365" t="s">
        <v>195</v>
      </c>
      <c r="B55" s="1365" t="s">
        <v>196</v>
      </c>
      <c r="C55" s="1365" t="s">
        <v>197</v>
      </c>
      <c r="D55" s="1365" t="s">
        <v>198</v>
      </c>
      <c r="E55" s="2278"/>
      <c r="F55" s="2278"/>
      <c r="G55" s="2278"/>
      <c r="H55" s="2278"/>
      <c r="I55" s="2280"/>
      <c r="J55" s="2279"/>
      <c r="K55" s="1365"/>
      <c r="L55" s="1366"/>
      <c r="P55" s="2281"/>
      <c r="Q55" s="2281"/>
      <c r="R55" s="358"/>
      <c r="S55" s="1280"/>
      <c r="T55" s="289" t="s">
        <v>459</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309"/>
      <c r="AW55" s="502"/>
      <c r="AX55" s="502" t="str">
        <f>IF(T55="","",T55)</f>
        <v>Добавить строку</v>
      </c>
      <c r="AY55" s="502"/>
      <c r="AZ55" s="502"/>
      <c r="BA55" s="1157">
        <v>11</v>
      </c>
    </row>
    <row s="1644" customFormat="1" customHeight="1" ht="1.05">
      <c r="A56" s="1345" t="s">
        <v>195</v>
      </c>
      <c r="B56" s="1345" t="s">
        <v>196</v>
      </c>
      <c r="C56" s="1345" t="s">
        <v>197</v>
      </c>
      <c r="D56" s="1345" t="s">
        <v>198</v>
      </c>
      <c r="E56" s="2278"/>
      <c r="F56" s="2278"/>
      <c r="G56" s="2278"/>
      <c r="H56" s="2278"/>
      <c r="I56" s="2279"/>
      <c r="J56" s="1345"/>
      <c r="K56" s="1345"/>
      <c r="L56" s="1348"/>
      <c r="M56" s="512"/>
      <c r="N56" s="512"/>
      <c r="O56" s="512"/>
      <c r="P56" s="2281"/>
      <c r="Q56" s="1333"/>
      <c r="R56" s="358"/>
      <c r="S56" s="1388"/>
      <c r="T56" s="1389" t="s">
        <v>407</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195</v>
      </c>
      <c r="B57" s="1345" t="s">
        <v>196</v>
      </c>
      <c r="C57" s="1345" t="s">
        <v>197</v>
      </c>
      <c r="D57" s="1345" t="s">
        <v>198</v>
      </c>
      <c r="E57" s="2278"/>
      <c r="F57" s="2278"/>
      <c r="G57" s="2278"/>
      <c r="H57" s="2277"/>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195</v>
      </c>
      <c r="B58" s="1345" t="s">
        <v>196</v>
      </c>
      <c r="C58" s="1345" t="s">
        <v>197</v>
      </c>
      <c r="D58" s="1316"/>
      <c r="E58" s="2278"/>
      <c r="F58" s="2278"/>
      <c r="G58" s="2277"/>
      <c r="H58" s="1316"/>
      <c r="I58" s="1316"/>
      <c r="J58" s="1316"/>
      <c r="K58" s="1316"/>
      <c r="L58" s="1341"/>
      <c r="M58" s="1317"/>
      <c r="N58" s="1317"/>
      <c r="P58" s="1318"/>
      <c r="Q58" s="1319"/>
      <c r="R58" s="1318"/>
      <c r="S58" s="1324"/>
      <c r="T58" s="1327" t="s">
        <v>409</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195</v>
      </c>
      <c r="B59" s="1345" t="s">
        <v>196</v>
      </c>
      <c r="C59" s="1316"/>
      <c r="D59" s="1316"/>
      <c r="E59" s="2278"/>
      <c r="F59" s="2277"/>
      <c r="G59" s="1316"/>
      <c r="H59" s="1316"/>
      <c r="I59" s="1316"/>
      <c r="J59" s="1316"/>
      <c r="K59" s="1316"/>
      <c r="L59" s="1341"/>
      <c r="M59" s="1323"/>
      <c r="N59" s="1323"/>
      <c r="P59" s="1318"/>
      <c r="Q59" s="1319"/>
      <c r="R59" s="1318"/>
      <c r="S59" s="1324"/>
      <c r="T59" s="1327" t="s">
        <v>410</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195</v>
      </c>
      <c r="B60" s="1345"/>
      <c r="C60" s="1345"/>
      <c r="D60" s="1345"/>
      <c r="E60" s="2278"/>
      <c r="F60" s="1345"/>
      <c r="G60" s="1345"/>
      <c r="H60" s="1345"/>
      <c r="I60" s="1345"/>
      <c r="J60" s="1345"/>
      <c r="K60" s="1345"/>
      <c r="L60" s="1348"/>
      <c r="M60" s="1323"/>
      <c r="N60" s="1323"/>
      <c r="O60" s="520"/>
      <c r="P60" s="382"/>
      <c r="Q60" s="1346"/>
      <c r="R60" s="382"/>
      <c r="S60" s="1324"/>
      <c r="T60" s="1327" t="s">
        <v>411</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195</v>
      </c>
      <c r="B61" s="1345"/>
      <c r="C61" s="1345"/>
      <c r="D61" s="1345"/>
      <c r="E61" s="2277"/>
      <c r="F61" s="1345"/>
      <c r="G61" s="1345"/>
      <c r="H61" s="1345"/>
      <c r="I61" s="1345"/>
      <c r="J61" s="1345"/>
      <c r="K61" s="1345"/>
      <c r="L61" s="1348"/>
      <c r="M61" s="1323"/>
      <c r="N61" s="1323"/>
      <c r="O61" s="520"/>
      <c r="P61" s="382"/>
      <c r="Q61" s="1346"/>
      <c r="R61" s="382"/>
      <c r="S61" s="1324"/>
      <c r="T61" s="1327" t="s">
        <v>411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439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76"/>
      <c r="U64" s="2276"/>
      <c r="V64" s="2276"/>
      <c r="W64" s="2276"/>
      <c r="X64" s="2276"/>
      <c r="Y64" s="2276"/>
      <c r="Z64" s="2276"/>
      <c r="AA64" s="2276"/>
      <c r="AB64" s="2276"/>
      <c r="AC64" s="2276"/>
      <c r="AD64" s="2276"/>
      <c r="AE64" s="2276"/>
      <c r="AF64" s="2276"/>
      <c r="AG64" s="2276"/>
      <c r="AH64" s="2276"/>
      <c r="AI64" s="2276"/>
      <c r="AJ64" s="2276"/>
      <c r="AK64" s="2276"/>
      <c r="AL64" s="2276"/>
      <c r="AM64" s="2276"/>
      <c r="AN64" s="2276"/>
      <c r="AO64" s="2276"/>
      <c r="AP64" s="2276"/>
      <c r="AQ64" s="2276"/>
      <c r="AR64" s="2276"/>
      <c r="AS64" s="2276"/>
      <c r="AT64" s="2276"/>
      <c r="AU64" s="2276"/>
      <c r="BA64" s="1157">
        <v>19</v>
      </c>
    </row>
    <row customHeight="1" ht="21">
      <c r="O65" s="539"/>
      <c r="T65" s="2276"/>
      <c r="U65" s="2276"/>
      <c r="V65" s="2276"/>
      <c r="W65" s="2276"/>
      <c r="X65" s="2276"/>
      <c r="Y65" s="2276"/>
      <c r="Z65" s="2276"/>
      <c r="AA65" s="2276"/>
      <c r="AB65" s="2276"/>
      <c r="AC65" s="2276"/>
      <c r="AD65" s="2276"/>
      <c r="AE65" s="2276"/>
      <c r="AF65" s="2276"/>
      <c r="AG65" s="2276"/>
      <c r="AH65" s="2276"/>
      <c r="AI65" s="2276"/>
      <c r="AJ65" s="2276"/>
      <c r="AK65" s="2276"/>
      <c r="AL65" s="2276"/>
      <c r="AM65" s="2276"/>
      <c r="AN65" s="2276"/>
      <c r="AO65" s="2276"/>
      <c r="AP65" s="2276"/>
      <c r="AQ65" s="2276"/>
      <c r="AR65" s="2276"/>
      <c r="AS65" s="2276"/>
      <c r="AT65" s="2276"/>
      <c r="AU65" s="2276"/>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76"/>
      <c r="U67" s="2276"/>
      <c r="V67" s="2276"/>
      <c r="W67" s="2276"/>
      <c r="X67" s="2276"/>
      <c r="Y67" s="2276"/>
      <c r="Z67" s="2276"/>
      <c r="AA67" s="2276"/>
      <c r="AB67" s="2276"/>
      <c r="AC67" s="2276"/>
      <c r="AD67" s="2276"/>
      <c r="AE67" s="2276"/>
      <c r="AF67" s="2276"/>
      <c r="AG67" s="2276"/>
      <c r="AH67" s="2276"/>
      <c r="AI67" s="2276"/>
      <c r="AJ67" s="2276"/>
      <c r="AK67" s="2276"/>
      <c r="AL67" s="2276"/>
      <c r="AM67" s="2276"/>
      <c r="AN67" s="2276"/>
      <c r="AO67" s="2276"/>
      <c r="AP67" s="2276"/>
      <c r="AQ67" s="2276"/>
      <c r="AR67" s="2276"/>
      <c r="AS67" s="2276"/>
      <c r="AT67" s="2276"/>
      <c r="AU67" s="2276"/>
      <c r="BA67" s="1157">
        <v>19</v>
      </c>
    </row>
    <row customHeight="1" ht="16.8">
      <c r="O68" s="539"/>
      <c r="T68" s="2276"/>
      <c r="U68" s="2276"/>
      <c r="V68" s="2276"/>
      <c r="W68" s="2276"/>
      <c r="X68" s="2276"/>
      <c r="Y68" s="2276"/>
      <c r="Z68" s="2276"/>
      <c r="AA68" s="2276"/>
      <c r="AB68" s="2276"/>
      <c r="AC68" s="2276"/>
      <c r="AD68" s="2276"/>
      <c r="AE68" s="2276"/>
      <c r="AF68" s="2276"/>
      <c r="AG68" s="2276"/>
      <c r="AH68" s="2276"/>
      <c r="AI68" s="2276"/>
      <c r="AJ68" s="2276"/>
      <c r="AK68" s="2276"/>
      <c r="AL68" s="2276"/>
      <c r="AM68" s="2276"/>
      <c r="AN68" s="2276"/>
      <c r="AO68" s="2276"/>
      <c r="AP68" s="2276"/>
      <c r="AQ68" s="2276"/>
      <c r="AR68" s="2276"/>
      <c r="AS68" s="2276"/>
      <c r="AT68" s="2276"/>
      <c r="AU68" s="2276"/>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04C18-C9E8-2B77-99AA-1115DF86249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38" width="10.140625" hidden="1" customWidth="1"/>
    <col min="13" max="15" style="2420" width="10.140625" hidden="1" customWidth="1"/>
    <col min="16" max="16" style="1777" width="3.00390625" customWidth="1"/>
    <col min="17" max="17" style="1373" width="3.00390625" customWidth="1"/>
    <col min="18" max="18" style="346" width="3.00390625" customWidth="1"/>
    <col min="19" max="19" style="2433"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312">
        <v>1</v>
      </c>
      <c r="F2" s="1269"/>
      <c r="G2" s="1269"/>
      <c r="H2" s="1269"/>
      <c r="I2" s="1269"/>
      <c r="J2" s="1269"/>
      <c r="K2" s="1269"/>
      <c r="L2" s="1312"/>
      <c r="M2" s="1612"/>
      <c r="N2" s="1612"/>
      <c r="O2" s="1612"/>
      <c r="P2" s="1411"/>
      <c r="Q2" s="875"/>
      <c r="R2" s="357"/>
      <c r="S2" s="1957">
        <f>INDEX(PT_DIFFERENTIATION_NUM_NTAR,MATCH(A2,PT_DIFFERENTIATION_NTAR_ID,0))</f>
      </c>
      <c r="T2" s="1527" t="s">
        <v>120</v>
      </c>
      <c r="U2" s="302"/>
      <c r="V2" s="2272"/>
      <c r="W2" s="2272"/>
      <c r="X2" s="2272"/>
      <c r="Y2" s="2272"/>
      <c r="Z2" s="2272"/>
      <c r="AA2" s="2273"/>
      <c r="AB2" s="1951"/>
      <c r="AC2" s="2272">
        <f>INDEX(PT_DIFFERENTIATION_NTAR,MATCH(A2,PT_DIFFERENTIATION_NTAR_ID,0))</f>
      </c>
      <c r="AD2" s="2272"/>
      <c r="AE2" s="2272"/>
      <c r="AF2" s="2272"/>
      <c r="AG2" s="2272"/>
      <c r="AH2" s="2272"/>
      <c r="AI2" s="2272"/>
      <c r="AJ2" s="2273"/>
      <c r="AK2" s="1260" t="s">
        <v>391</v>
      </c>
      <c r="AM2" s="1626"/>
      <c r="AN2" s="1626" t="str">
        <f>IF(T2="","",T2)</f>
        <v>Наименование тарифа</v>
      </c>
      <c r="AO2" s="1626"/>
      <c r="AP2" s="1626"/>
      <c r="AQ2" s="1633">
        <v>0</v>
      </c>
    </row>
    <row customHeight="1" ht="21" hidden="1">
      <c r="A3" s="1269"/>
      <c r="B3" s="1269"/>
      <c r="C3" s="1269"/>
      <c r="D3" s="1269"/>
      <c r="E3" s="2313"/>
      <c r="F3" s="2312">
        <v>1</v>
      </c>
      <c r="G3" s="1269"/>
      <c r="H3" s="1269"/>
      <c r="I3" s="1269"/>
      <c r="J3" s="1269"/>
      <c r="K3" s="1269"/>
      <c r="L3" s="1312"/>
      <c r="M3" s="1612"/>
      <c r="N3" s="1612"/>
      <c r="O3" s="1612"/>
      <c r="P3" s="1968"/>
      <c r="Q3" s="1413"/>
      <c r="R3" s="355"/>
      <c r="S3" s="1957">
        <f>INDEX(PT_DIFFERENTIATION_NUM_TER,MATCH(B3,PT_DIFFERENTIATION_TER_ID,0))</f>
      </c>
      <c r="T3" s="1524" t="s">
        <v>392</v>
      </c>
      <c r="U3" s="302"/>
      <c r="V3" s="2272"/>
      <c r="W3" s="2272"/>
      <c r="X3" s="2272"/>
      <c r="Y3" s="2272"/>
      <c r="Z3" s="2272"/>
      <c r="AA3" s="2273"/>
      <c r="AB3" s="1951"/>
      <c r="AC3" s="2272">
        <f>INDEX(PT_DIFFERENTIATION_TER,MATCH(B3,PT_DIFFERENTIATION_TER_ID,0))</f>
      </c>
      <c r="AD3" s="2272"/>
      <c r="AE3" s="2272"/>
      <c r="AF3" s="2272"/>
      <c r="AG3" s="2272"/>
      <c r="AH3" s="2272"/>
      <c r="AI3" s="2272"/>
      <c r="AJ3" s="2273"/>
      <c r="AK3" s="1260" t="s">
        <v>393</v>
      </c>
      <c r="AM3" s="1626"/>
      <c r="AN3" s="1626" t="str">
        <f>IF(T3="","",T3)</f>
        <v>Территория действия тарифа</v>
      </c>
      <c r="AO3" s="1626"/>
      <c r="AP3" s="1626"/>
      <c r="AQ3" s="1633">
        <v>0</v>
      </c>
    </row>
    <row customHeight="1" ht="22.5" hidden="1">
      <c r="A4" s="1269"/>
      <c r="B4" s="1269"/>
      <c r="C4" s="1269"/>
      <c r="D4" s="1269"/>
      <c r="E4" s="2313"/>
      <c r="F4" s="2313"/>
      <c r="G4" s="2312">
        <v>1</v>
      </c>
      <c r="H4" s="1269"/>
      <c r="I4" s="1269"/>
      <c r="J4" s="1269"/>
      <c r="K4" s="1269"/>
      <c r="L4" s="1312"/>
      <c r="M4" s="1612"/>
      <c r="N4" s="1612"/>
      <c r="O4" s="1612"/>
      <c r="P4" s="1414"/>
      <c r="Q4" s="1413"/>
      <c r="R4" s="355"/>
      <c r="S4" s="1957">
        <f>INDEX(PT_DIFFERENTIATION_NUM_CS,MATCH(C4,PT_DIFFERENTIATION_CS_ID,0))</f>
      </c>
      <c r="T4" s="311" t="s">
        <v>394</v>
      </c>
      <c r="U4" s="302"/>
      <c r="V4" s="2272"/>
      <c r="W4" s="2272"/>
      <c r="X4" s="2272"/>
      <c r="Y4" s="2272"/>
      <c r="Z4" s="2272"/>
      <c r="AA4" s="2273"/>
      <c r="AB4" s="1951"/>
      <c r="AC4" s="2272">
        <f>INDEX(PT_DIFFERENTIATION_CS,MATCH(C4,PT_DIFFERENTIATION_CS_ID,0))</f>
      </c>
      <c r="AD4" s="2272"/>
      <c r="AE4" s="2272"/>
      <c r="AF4" s="2272"/>
      <c r="AG4" s="2272"/>
      <c r="AH4" s="2272"/>
      <c r="AI4" s="2272"/>
      <c r="AJ4" s="2273"/>
      <c r="AK4" s="1260" t="s">
        <v>395</v>
      </c>
      <c r="AM4" s="1626"/>
      <c r="AN4" s="1626" t="str">
        <f>IF(T4="","",T4)</f>
        <v>Наименование системы теплоснабжения </v>
      </c>
      <c r="AO4" s="1626"/>
      <c r="AP4" s="1626"/>
      <c r="AQ4" s="1633">
        <v>0</v>
      </c>
    </row>
    <row customHeight="1" ht="21" hidden="1">
      <c r="A5" s="1269"/>
      <c r="B5" s="1269"/>
      <c r="C5" s="1269"/>
      <c r="D5" s="1269"/>
      <c r="E5" s="2313"/>
      <c r="F5" s="2313"/>
      <c r="G5" s="2313"/>
      <c r="H5" s="2312">
        <v>1</v>
      </c>
      <c r="I5" s="1269"/>
      <c r="J5" s="1269"/>
      <c r="K5" s="1269"/>
      <c r="L5" s="1312"/>
      <c r="M5" s="1612"/>
      <c r="N5" s="1612"/>
      <c r="O5" s="1612"/>
      <c r="P5" s="1414"/>
      <c r="Q5" s="1413"/>
      <c r="R5" s="355"/>
      <c r="S5" s="1957">
        <f>INDEX(PT_DIFFERENTIATION_NUM_IST_TE,MATCH(D5,PT_DIFFERENTIATION_IST_TE_ID,0))</f>
      </c>
      <c r="T5" s="312" t="s">
        <v>396</v>
      </c>
      <c r="U5" s="302"/>
      <c r="V5" s="2272"/>
      <c r="W5" s="2272"/>
      <c r="X5" s="2272"/>
      <c r="Y5" s="2272"/>
      <c r="Z5" s="2272"/>
      <c r="AA5" s="2273"/>
      <c r="AB5" s="1951"/>
      <c r="AC5" s="2272">
        <f>INDEX(PT_DIFFERENTIATION_IST_TE,MATCH(D5,PT_DIFFERENTIATION_IST_TE_ID,0))</f>
      </c>
      <c r="AD5" s="2272"/>
      <c r="AE5" s="2272"/>
      <c r="AF5" s="2272"/>
      <c r="AG5" s="2272"/>
      <c r="AH5" s="2272"/>
      <c r="AI5" s="2272"/>
      <c r="AJ5" s="2273"/>
      <c r="AK5" s="1260" t="s">
        <v>397</v>
      </c>
      <c r="AM5" s="1626"/>
      <c r="AN5" s="1626" t="str">
        <f>IF(T5="","",T5)</f>
        <v>Источник тепловой энергии  </v>
      </c>
      <c r="AO5" s="1626"/>
      <c r="AP5" s="1626"/>
      <c r="AQ5" s="1633">
        <v>0</v>
      </c>
    </row>
    <row s="1644" customFormat="1" customHeight="1" ht="0.75" hidden="1">
      <c r="A6" s="1377"/>
      <c r="B6" s="1377"/>
      <c r="C6" s="1377"/>
      <c r="D6" s="1377"/>
      <c r="E6" s="2313"/>
      <c r="F6" s="2313"/>
      <c r="G6" s="2313"/>
      <c r="H6" s="2313"/>
      <c r="I6" s="2140">
        <f>S5&amp;".1"</f>
      </c>
      <c r="J6" s="1377"/>
      <c r="K6" s="1377"/>
      <c r="L6" s="1383" t="s">
        <v>398</v>
      </c>
      <c r="M6" s="1248"/>
      <c r="N6" s="1248"/>
      <c r="O6" s="1248"/>
      <c r="P6" s="2281">
        <v>1</v>
      </c>
      <c r="Q6" s="1953"/>
      <c r="R6" s="358"/>
      <c r="S6" s="1044"/>
      <c r="T6" s="1385"/>
      <c r="U6" s="1386"/>
      <c r="V6" s="2320"/>
      <c r="W6" s="2320"/>
      <c r="X6" s="2320"/>
      <c r="Y6" s="2320"/>
      <c r="Z6" s="2320"/>
      <c r="AA6" s="2321"/>
      <c r="AB6" s="1959"/>
      <c r="AC6" s="2320"/>
      <c r="AD6" s="2320"/>
      <c r="AE6" s="2320"/>
      <c r="AF6" s="2320"/>
      <c r="AG6" s="2320"/>
      <c r="AH6" s="2320"/>
      <c r="AI6" s="2320"/>
      <c r="AJ6" s="2321"/>
      <c r="AK6" s="1387"/>
      <c r="AM6" s="1626"/>
      <c r="AN6" s="1626" t="str">
        <f>IF(T6="","",T6)</f>
        <v/>
      </c>
      <c r="AO6" s="1626"/>
      <c r="AP6" s="1626"/>
      <c r="AQ6" s="1638">
        <v>0</v>
      </c>
    </row>
    <row s="1644" customFormat="1" customHeight="1" ht="0.75" hidden="1">
      <c r="A7" s="1377"/>
      <c r="B7" s="1377"/>
      <c r="C7" s="1377"/>
      <c r="D7" s="1377"/>
      <c r="E7" s="2313"/>
      <c r="F7" s="2313"/>
      <c r="G7" s="2313"/>
      <c r="H7" s="2313"/>
      <c r="I7" s="2124"/>
      <c r="J7" s="2140">
        <f>S5&amp;".1"</f>
      </c>
      <c r="K7" s="1377"/>
      <c r="L7" s="1383"/>
      <c r="M7" s="1248"/>
      <c r="N7" s="1248"/>
      <c r="O7" s="1248"/>
      <c r="P7" s="2281"/>
      <c r="Q7" s="2281">
        <v>1</v>
      </c>
      <c r="R7" s="359"/>
      <c r="S7" s="1044"/>
      <c r="T7" s="1401"/>
      <c r="U7" s="1386"/>
      <c r="V7" s="2320"/>
      <c r="W7" s="2320"/>
      <c r="X7" s="2320"/>
      <c r="Y7" s="2320"/>
      <c r="Z7" s="2320"/>
      <c r="AA7" s="2321"/>
      <c r="AB7" s="1959"/>
      <c r="AC7" s="2320"/>
      <c r="AD7" s="2320"/>
      <c r="AE7" s="2320"/>
      <c r="AF7" s="2320"/>
      <c r="AG7" s="2320"/>
      <c r="AH7" s="2320"/>
      <c r="AI7" s="2320"/>
      <c r="AJ7" s="2321"/>
      <c r="AK7" s="1387"/>
      <c r="AM7" s="1626"/>
      <c r="AN7" s="1626" t="str">
        <f>IF(T7="","",T7)</f>
        <v/>
      </c>
      <c r="AO7" s="1626"/>
      <c r="AP7" s="1626"/>
      <c r="AQ7" s="1638">
        <v>0</v>
      </c>
    </row>
    <row customHeight="1" ht="21" hidden="1">
      <c r="A8" s="1269"/>
      <c r="B8" s="1269"/>
      <c r="C8" s="1269"/>
      <c r="D8" s="1269"/>
      <c r="E8" s="2313"/>
      <c r="F8" s="2313"/>
      <c r="G8" s="2313"/>
      <c r="H8" s="2313"/>
      <c r="I8" s="2124"/>
      <c r="J8" s="2124"/>
      <c r="K8" s="1990">
        <f>S5&amp;".1"</f>
      </c>
      <c r="L8" s="1312"/>
      <c r="P8" s="2281"/>
      <c r="Q8" s="2281"/>
      <c r="R8" s="1994">
        <v>1</v>
      </c>
      <c r="S8" s="1992">
        <f>$K8</f>
      </c>
      <c r="T8" s="1993"/>
      <c r="U8" s="302"/>
      <c r="V8" s="753"/>
      <c r="W8" s="1259"/>
      <c r="X8" s="1991"/>
      <c r="Y8" s="1989" t="s">
        <v>65</v>
      </c>
      <c r="Z8" s="1991"/>
      <c r="AA8" s="1989" t="s">
        <v>65</v>
      </c>
      <c r="AB8" s="1995"/>
      <c r="AC8" s="1996" t="s">
        <v>22</v>
      </c>
      <c r="AD8" s="753"/>
      <c r="AE8" s="1259"/>
      <c r="AF8" s="1954"/>
      <c r="AG8" s="1941" t="s">
        <v>65</v>
      </c>
      <c r="AH8" s="1954"/>
      <c r="AI8" s="1941" t="s">
        <v>65</v>
      </c>
      <c r="AJ8" s="1350"/>
      <c r="AK8" s="2307" t="s">
        <v>455</v>
      </c>
      <c r="AL8" s="1638">
        <f>STRCHECKDATE(#REF!)</f>
      </c>
      <c r="AM8" s="1626"/>
      <c r="AN8" s="1626" t="str">
        <f>IF(T8="","",T8)</f>
        <v/>
      </c>
      <c r="AO8" s="1626"/>
      <c r="AP8" s="1626"/>
      <c r="AQ8" s="1633">
        <v>0</v>
      </c>
    </row>
    <row customHeight="1" ht="11.25" hidden="1">
      <c r="A9" s="1269"/>
      <c r="B9" s="1269"/>
      <c r="C9" s="1269"/>
      <c r="D9" s="1269"/>
      <c r="E9" s="2313"/>
      <c r="F9" s="2313"/>
      <c r="G9" s="2313"/>
      <c r="H9" s="2313"/>
      <c r="I9" s="2124"/>
      <c r="J9" s="2140"/>
      <c r="K9" s="1269"/>
      <c r="L9" s="1312"/>
      <c r="P9" s="2281"/>
      <c r="Q9" s="2281"/>
      <c r="R9" s="358"/>
      <c r="S9" s="1280"/>
      <c r="T9" s="289" t="s">
        <v>459</v>
      </c>
      <c r="U9" s="602"/>
      <c r="V9" s="602"/>
      <c r="W9" s="602"/>
      <c r="X9" s="602"/>
      <c r="Y9" s="602"/>
      <c r="Z9" s="602"/>
      <c r="AA9" s="602"/>
      <c r="AB9" s="602"/>
      <c r="AC9" s="602"/>
      <c r="AD9" s="602"/>
      <c r="AE9" s="602"/>
      <c r="AF9" s="602"/>
      <c r="AG9" s="602"/>
      <c r="AH9" s="602"/>
      <c r="AI9" s="602"/>
      <c r="AJ9" s="326"/>
      <c r="AK9" s="2309"/>
      <c r="AM9" s="1626"/>
      <c r="AN9" s="1626" t="str">
        <f>IF(T9="","",T9)</f>
        <v>Добавить строку</v>
      </c>
      <c r="AO9" s="1626"/>
      <c r="AP9" s="1626"/>
      <c r="AQ9" s="1633">
        <v>0</v>
      </c>
    </row>
    <row s="1644" customFormat="1" customHeight="1" ht="0.75" hidden="1">
      <c r="A10" s="1377"/>
      <c r="B10" s="1377"/>
      <c r="C10" s="1377"/>
      <c r="D10" s="1377"/>
      <c r="E10" s="2313"/>
      <c r="F10" s="2313"/>
      <c r="G10" s="2313"/>
      <c r="H10" s="2313"/>
      <c r="I10" s="2140"/>
      <c r="J10" s="1377"/>
      <c r="K10" s="1377"/>
      <c r="L10" s="1383"/>
      <c r="M10" s="1248"/>
      <c r="N10" s="1248"/>
      <c r="O10" s="1248"/>
      <c r="P10" s="2281"/>
      <c r="Q10" s="1953"/>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313"/>
      <c r="F11" s="2313"/>
      <c r="G11" s="2313"/>
      <c r="H11" s="2312"/>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313"/>
      <c r="F12" s="2313"/>
      <c r="G12" s="2312"/>
      <c r="H12" s="1376"/>
      <c r="I12" s="1376"/>
      <c r="J12" s="1376"/>
      <c r="K12" s="1376"/>
      <c r="L12" s="1379"/>
      <c r="M12" s="1380"/>
      <c r="N12" s="1380"/>
      <c r="O12" s="353"/>
      <c r="P12" s="1318"/>
      <c r="Q12" s="1319"/>
      <c r="R12" s="1318"/>
      <c r="S12" s="1324"/>
      <c r="T12" s="1327" t="s">
        <v>409</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313"/>
      <c r="F13" s="2312"/>
      <c r="G13" s="1376"/>
      <c r="H13" s="1376"/>
      <c r="I13" s="1376"/>
      <c r="J13" s="1376"/>
      <c r="K13" s="1376"/>
      <c r="L13" s="1379"/>
      <c r="M13" s="1381"/>
      <c r="N13" s="1381"/>
      <c r="O13" s="353"/>
      <c r="P13" s="1318"/>
      <c r="Q13" s="1319"/>
      <c r="R13" s="1318"/>
      <c r="S13" s="1324"/>
      <c r="T13" s="1327" t="s">
        <v>410</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312"/>
      <c r="F14" s="1377"/>
      <c r="G14" s="1377"/>
      <c r="H14" s="1377"/>
      <c r="I14" s="1377"/>
      <c r="J14" s="1377"/>
      <c r="K14" s="1377"/>
      <c r="L14" s="1383"/>
      <c r="M14" s="1381"/>
      <c r="N14" s="1381"/>
      <c r="O14" s="353"/>
      <c r="P14" s="382"/>
      <c r="Q14" s="1346"/>
      <c r="R14" s="382"/>
      <c r="S14" s="1324"/>
      <c r="T14" s="1327" t="s">
        <v>411</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7"/>
      <c r="AG16" s="1965" t="s">
        <v>65</v>
      </c>
      <c r="AH16" s="1737"/>
      <c r="AI16" s="1965" t="s">
        <v>65</v>
      </c>
      <c r="AQ16" s="1633">
        <v>0</v>
      </c>
    </row>
    <row customHeight="1" ht="14.25" hidden="1">
      <c r="AL17" s="1643"/>
      <c r="AM17" s="1643"/>
      <c r="AN17" s="1643"/>
      <c r="AO17" s="1643"/>
      <c r="AP17" s="1643"/>
      <c r="AQ17" s="1633">
        <v>0</v>
      </c>
    </row>
    <row customHeight="1" ht="14.25" hidden="1">
      <c r="O18" s="1347" t="s">
        <v>412</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0"/>
      <c r="B20" s="1970"/>
      <c r="C20" s="1970"/>
      <c r="D20" s="1970"/>
      <c r="E20" s="1970"/>
      <c r="F20" s="1970"/>
      <c r="G20" s="1970"/>
      <c r="H20" s="1970"/>
      <c r="I20" s="1970"/>
      <c r="J20" s="1970"/>
      <c r="K20" s="1970"/>
      <c r="L20" s="1970"/>
      <c r="M20" s="1971"/>
      <c r="N20" s="1971"/>
      <c r="O20" s="1972" t="s">
        <v>413</v>
      </c>
      <c r="P20" s="1510"/>
      <c r="Q20" s="1512"/>
      <c r="R20" s="1512"/>
      <c r="Y20" s="1509" t="s">
        <v>415</v>
      </c>
      <c r="AA20" s="1509" t="s">
        <v>416</v>
      </c>
      <c r="AC20" s="1509" t="s">
        <v>461</v>
      </c>
      <c r="AG20" s="1509" t="s">
        <v>415</v>
      </c>
      <c r="AI20" s="1509" t="s">
        <v>416</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3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10"/>
      <c r="U24" s="2310"/>
      <c r="V24" s="2310"/>
      <c r="W24" s="2310"/>
      <c r="X24" s="2310"/>
      <c r="Y24" s="2310"/>
      <c r="Z24" s="2310"/>
      <c r="AA24" s="2310"/>
      <c r="AB24" s="2310"/>
      <c r="AC24" s="2310"/>
      <c r="AD24" s="2310"/>
      <c r="AE24" s="2310"/>
      <c r="AF24" s="2310"/>
      <c r="AG24" s="2310"/>
      <c r="AH24" s="2310"/>
      <c r="AI24" s="1245"/>
      <c r="AQ24" s="1633">
        <v>38</v>
      </c>
    </row>
    <row customHeight="1" ht="14.699999999999998">
      <c r="Q25" s="293"/>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2" customFormat="1" customHeight="1" ht="25.5" hidden="1">
      <c r="A27" s="1250"/>
      <c r="B27" s="1250"/>
      <c r="C27" s="1250"/>
      <c r="D27" s="1250"/>
      <c r="E27" s="1250"/>
      <c r="F27" s="1250"/>
      <c r="G27" s="1250"/>
      <c r="H27" s="1250"/>
      <c r="I27" s="1250"/>
      <c r="J27" s="1250"/>
      <c r="K27" s="1250"/>
      <c r="L27" s="1382"/>
      <c r="M27" s="1250"/>
      <c r="N27" s="1250"/>
      <c r="O27" s="1250"/>
      <c r="P27" s="1370"/>
      <c r="Q27" s="1370"/>
      <c r="S27" s="2372"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373"/>
      <c r="U27" s="1374"/>
      <c r="V27" s="2270" t="str">
        <f>IF(TITLE_NAME_OR_PR_CHANGE="",IF(TITLE_NAME_OR_PR="","",TITLE_NAME_OR_PR),TITLE_NAME_OR_PR_CHANGE)</f>
        <v/>
      </c>
      <c r="W27" s="2270"/>
      <c r="X27" s="2270"/>
      <c r="Y27" s="2270"/>
      <c r="Z27" s="2270"/>
      <c r="AA27" s="1637"/>
      <c r="AB27" s="1637"/>
      <c r="AC27" s="2270"/>
      <c r="AD27" s="2270"/>
      <c r="AE27" s="2270"/>
      <c r="AF27" s="2270"/>
      <c r="AG27" s="2270"/>
      <c r="AH27" s="2270"/>
      <c r="AI27" s="1637"/>
      <c r="AJ27" s="1637"/>
      <c r="AK27" s="282"/>
      <c r="AL27" s="370"/>
      <c r="AM27" s="370"/>
      <c r="AN27" s="370"/>
      <c r="AO27" s="370"/>
      <c r="AP27" s="370"/>
      <c r="AQ27" s="420">
        <v>0</v>
      </c>
    </row>
    <row s="1852" customFormat="1" customHeight="1" ht="18.75" hidden="1">
      <c r="A28" s="1250"/>
      <c r="B28" s="1250"/>
      <c r="C28" s="1250"/>
      <c r="D28" s="1250"/>
      <c r="E28" s="1250"/>
      <c r="F28" s="1250"/>
      <c r="G28" s="1250"/>
      <c r="H28" s="1250"/>
      <c r="I28" s="1250"/>
      <c r="J28" s="1250"/>
      <c r="K28" s="1250"/>
      <c r="L28" s="1382"/>
      <c r="M28" s="1250"/>
      <c r="N28" s="1250"/>
      <c r="O28" s="1250"/>
      <c r="P28" s="1370"/>
      <c r="Q28" s="1370"/>
      <c r="S28" s="2372" t="str">
        <f>"Дата документа об "&amp;IF(TITLE_DATE_PR_CHANGE="","утверждении","изменении")&amp;" тарифов"</f>
        <v>Дата документа об утверждении тарифов</v>
      </c>
      <c r="T28" s="2373"/>
      <c r="U28" s="1374"/>
      <c r="V28" s="2269" t="str">
        <f>IF(TITLE_DATE_PR_CHANGE="",IF(TITLE_DATE_PR="","",TITLE_DATE_PR),TITLE_DATE_PR_CHANGE)</f>
        <v/>
      </c>
      <c r="W28" s="2269"/>
      <c r="X28" s="2269"/>
      <c r="Y28" s="2269"/>
      <c r="Z28" s="2269"/>
      <c r="AA28" s="1637"/>
      <c r="AB28" s="1637"/>
      <c r="AC28" s="2269"/>
      <c r="AD28" s="2269"/>
      <c r="AE28" s="2269"/>
      <c r="AF28" s="2269"/>
      <c r="AG28" s="2269"/>
      <c r="AH28" s="2269"/>
      <c r="AI28" s="1637"/>
      <c r="AJ28" s="1637"/>
      <c r="AK28" s="282"/>
      <c r="AL28" s="370"/>
      <c r="AM28" s="370"/>
      <c r="AN28" s="370"/>
      <c r="AO28" s="370"/>
      <c r="AP28" s="370"/>
      <c r="AQ28" s="420">
        <v>0</v>
      </c>
    </row>
    <row s="1852" customFormat="1" customHeight="1" ht="18.75" hidden="1">
      <c r="A29" s="1250"/>
      <c r="B29" s="1250"/>
      <c r="C29" s="1250"/>
      <c r="D29" s="1250"/>
      <c r="E29" s="1250"/>
      <c r="F29" s="1250"/>
      <c r="G29" s="1250"/>
      <c r="H29" s="1250"/>
      <c r="I29" s="1250"/>
      <c r="J29" s="1250"/>
      <c r="K29" s="1250"/>
      <c r="L29" s="1382"/>
      <c r="M29" s="1250"/>
      <c r="N29" s="1250"/>
      <c r="O29" s="1250"/>
      <c r="P29" s="1370"/>
      <c r="Q29" s="1370"/>
      <c r="S29" s="2372" t="str">
        <f>"Номер документа об "&amp;IF(TITLE_DATE_PR_CHANGE="","утверждении","изменении")&amp;" тарифов"</f>
        <v>Номер документа об утверждении тарифов</v>
      </c>
      <c r="T29" s="2373"/>
      <c r="U29" s="1374"/>
      <c r="V29" s="2270" t="str">
        <f>IF(TITLE_NUMBER_PR_CHANGE="",IF(TITLE_NUMBER_PR="","",TITLE_NUMBER_PR),TITLE_NUMBER_PR_CHANGE)</f>
        <v/>
      </c>
      <c r="W29" s="2270"/>
      <c r="X29" s="2270"/>
      <c r="Y29" s="2270"/>
      <c r="Z29" s="2270"/>
      <c r="AA29" s="1637"/>
      <c r="AB29" s="1637"/>
      <c r="AC29" s="2270"/>
      <c r="AD29" s="2270"/>
      <c r="AE29" s="2270"/>
      <c r="AF29" s="2270"/>
      <c r="AG29" s="2270"/>
      <c r="AH29" s="2270"/>
      <c r="AI29" s="1637"/>
      <c r="AJ29" s="1637"/>
      <c r="AK29" s="282"/>
      <c r="AL29" s="370"/>
      <c r="AM29" s="370"/>
      <c r="AN29" s="370"/>
      <c r="AO29" s="370"/>
      <c r="AP29" s="370"/>
      <c r="AQ29" s="420">
        <v>0</v>
      </c>
    </row>
    <row s="1852" customFormat="1" customHeight="1" ht="18.75" hidden="1">
      <c r="A30" s="1250"/>
      <c r="B30" s="1250"/>
      <c r="C30" s="1250"/>
      <c r="D30" s="1250"/>
      <c r="E30" s="1250"/>
      <c r="F30" s="1250"/>
      <c r="G30" s="1250"/>
      <c r="H30" s="1250"/>
      <c r="I30" s="1250"/>
      <c r="J30" s="1250"/>
      <c r="K30" s="1250"/>
      <c r="L30" s="1382"/>
      <c r="M30" s="1250"/>
      <c r="N30" s="1250"/>
      <c r="O30" s="1250"/>
      <c r="P30" s="1370"/>
      <c r="Q30" s="1370"/>
      <c r="S30" s="2372" t="s">
        <v>43</v>
      </c>
      <c r="T30" s="2373"/>
      <c r="U30" s="1374"/>
      <c r="V30" s="2270" t="str">
        <f>IF(TITLE_IST_PUB_CHANGE="",IF(TITLE_IST_PUB="","",TITLE_IST_PUB),TITLE_IST_PUB_CHANGE)</f>
        <v/>
      </c>
      <c r="W30" s="2270"/>
      <c r="X30" s="2270"/>
      <c r="Y30" s="2270"/>
      <c r="Z30" s="2270"/>
      <c r="AA30" s="1637"/>
      <c r="AB30" s="1637"/>
      <c r="AC30" s="2270"/>
      <c r="AD30" s="2270"/>
      <c r="AE30" s="2270"/>
      <c r="AF30" s="2270"/>
      <c r="AG30" s="2270"/>
      <c r="AH30" s="2270"/>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2" customFormat="1" customHeight="1" ht="18.75" hidden="1">
      <c r="A32" s="1250"/>
      <c r="B32" s="1250"/>
      <c r="C32" s="1250"/>
      <c r="D32" s="1250"/>
      <c r="E32" s="1250"/>
      <c r="F32" s="1250"/>
      <c r="G32" s="1250"/>
      <c r="H32" s="1250"/>
      <c r="I32" s="1250"/>
      <c r="J32" s="1250"/>
      <c r="K32" s="1250"/>
      <c r="L32" s="1382"/>
      <c r="M32" s="1250"/>
      <c r="N32" s="1250"/>
      <c r="O32" s="1250"/>
      <c r="P32" s="1370"/>
      <c r="Q32" s="1370"/>
      <c r="S32" s="2372" t="str">
        <f>"Дата подачи заявления об "&amp;IF(TITLE_DATE_PR_CHANGE="","утверждении","изменении")&amp;" тарифов"</f>
        <v>Дата подачи заявления об утверждении тарифов</v>
      </c>
      <c r="T32" s="2373"/>
      <c r="U32" s="1374"/>
      <c r="V32" s="2269" t="str">
        <f>IF(TITLE_DATE_PR_CHANGE="",IF(TITLE_DATE_PR="","",TITLE_DATE_PR),TITLE_DATE_PR_CHANGE)</f>
        <v/>
      </c>
      <c r="W32" s="2269"/>
      <c r="X32" s="2269"/>
      <c r="Y32" s="2269"/>
      <c r="Z32" s="2269"/>
      <c r="AA32" s="1637"/>
      <c r="AB32" s="1637"/>
      <c r="AC32" s="2269"/>
      <c r="AD32" s="2269"/>
      <c r="AE32" s="2269"/>
      <c r="AF32" s="2269"/>
      <c r="AG32" s="2269"/>
      <c r="AH32" s="2269"/>
      <c r="AI32" s="1637"/>
      <c r="AJ32" s="1637"/>
      <c r="AK32" s="282"/>
      <c r="AL32" s="370"/>
      <c r="AM32" s="370"/>
      <c r="AN32" s="370"/>
      <c r="AO32" s="370"/>
      <c r="AP32" s="370"/>
      <c r="AQ32" s="420">
        <v>0</v>
      </c>
    </row>
    <row s="1852" customFormat="1" customHeight="1" ht="18" hidden="1">
      <c r="A33" s="1250"/>
      <c r="B33" s="1250"/>
      <c r="C33" s="1250"/>
      <c r="D33" s="1250"/>
      <c r="E33" s="1250"/>
      <c r="F33" s="1250"/>
      <c r="G33" s="1250"/>
      <c r="H33" s="1250"/>
      <c r="I33" s="1250"/>
      <c r="J33" s="1250"/>
      <c r="K33" s="1250"/>
      <c r="L33" s="1382"/>
      <c r="M33" s="1250"/>
      <c r="N33" s="1250"/>
      <c r="O33" s="1250"/>
      <c r="P33" s="1370"/>
      <c r="Q33" s="1370"/>
      <c r="S33" s="2372" t="str">
        <f>"Номер подачи заявления об "&amp;IF(TITLE_DATE_PR_CHANGE="","утверждении","изменении")&amp;" тарифов"</f>
        <v>Номер подачи заявления об утверждении тарифов</v>
      </c>
      <c r="T33" s="2373"/>
      <c r="U33" s="1374"/>
      <c r="V33" s="2270" t="str">
        <f>IF(TITLE_NUMBER_PR_CHANGE="",IF(TITLE_NUMBER_PR="","",TITLE_NUMBER_PR),TITLE_NUMBER_PR_CHANGE)</f>
        <v/>
      </c>
      <c r="W33" s="2270"/>
      <c r="X33" s="2270"/>
      <c r="Y33" s="2270"/>
      <c r="Z33" s="2270"/>
      <c r="AA33" s="1637"/>
      <c r="AB33" s="1637"/>
      <c r="AC33" s="2270"/>
      <c r="AD33" s="2270"/>
      <c r="AE33" s="2270"/>
      <c r="AF33" s="2270"/>
      <c r="AG33" s="2270"/>
      <c r="AH33" s="2270"/>
      <c r="AI33" s="1637"/>
      <c r="AJ33" s="1637"/>
      <c r="AK33" s="282"/>
      <c r="AL33" s="370"/>
      <c r="AM33" s="370"/>
      <c r="AN33" s="370"/>
      <c r="AO33" s="370"/>
      <c r="AP33" s="370"/>
      <c r="AQ33" s="420">
        <v>0</v>
      </c>
    </row>
    <row s="1852"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69"/>
      <c r="V34" s="1637"/>
      <c r="W34" s="1637"/>
      <c r="X34" s="1637"/>
      <c r="Y34" s="1637"/>
      <c r="Z34" s="1637"/>
      <c r="AA34" s="1644" t="s">
        <v>418</v>
      </c>
      <c r="AB34" s="1644"/>
      <c r="AC34" s="1637"/>
      <c r="AD34" s="1637"/>
      <c r="AE34" s="1637"/>
      <c r="AF34" s="1637"/>
      <c r="AG34" s="1637"/>
      <c r="AH34" s="1637"/>
      <c r="AI34" s="1644" t="s">
        <v>418</v>
      </c>
      <c r="AL34" s="370"/>
      <c r="AM34" s="370"/>
      <c r="AN34" s="370"/>
      <c r="AO34" s="370"/>
      <c r="AP34" s="370"/>
      <c r="AQ34" s="420">
        <v>1</v>
      </c>
    </row>
    <row customHeight="1" ht="14.699999999999998">
      <c r="Q35" s="293"/>
      <c r="R35" s="378"/>
      <c r="S35" s="1277"/>
      <c r="T35" s="459"/>
      <c r="U35" s="1246"/>
      <c r="V35" s="2294"/>
      <c r="W35" s="2294"/>
      <c r="X35" s="2294"/>
      <c r="Y35" s="2294"/>
      <c r="Z35" s="2294"/>
      <c r="AA35" s="2294"/>
      <c r="AB35" s="1956"/>
      <c r="AC35" s="2294"/>
      <c r="AD35" s="2294"/>
      <c r="AE35" s="2294"/>
      <c r="AF35" s="2294"/>
      <c r="AG35" s="2294"/>
      <c r="AH35" s="2294"/>
      <c r="AI35" s="2294"/>
      <c r="AQ35" s="1633">
        <v>14</v>
      </c>
    </row>
    <row customHeight="1" ht="14.699999999999998">
      <c r="Q36" s="293"/>
      <c r="R36" s="378"/>
      <c r="S36" s="2140" t="s">
        <v>295</v>
      </c>
      <c r="T36" s="2140"/>
      <c r="U36" s="2140"/>
      <c r="V36" s="2140"/>
      <c r="W36" s="2140"/>
      <c r="X36" s="2140"/>
      <c r="Y36" s="2140"/>
      <c r="Z36" s="2140"/>
      <c r="AA36" s="2199"/>
      <c r="AB36" s="2199"/>
      <c r="AC36" s="2199"/>
      <c r="AD36" s="2140"/>
      <c r="AE36" s="2140"/>
      <c r="AF36" s="2140"/>
      <c r="AG36" s="2140"/>
      <c r="AH36" s="2140"/>
      <c r="AI36" s="2140"/>
      <c r="AJ36" s="2140"/>
      <c r="AK36" s="2140" t="s">
        <v>296</v>
      </c>
      <c r="AQ36" s="1633">
        <v>14</v>
      </c>
    </row>
    <row customHeight="1" ht="14.699999999999998">
      <c r="Q37" s="293"/>
      <c r="R37" s="378"/>
      <c r="S37" s="2295" t="s">
        <v>88</v>
      </c>
      <c r="T37" s="2232" t="s">
        <v>472</v>
      </c>
      <c r="U37" s="339"/>
      <c r="V37" s="2297"/>
      <c r="W37" s="2297"/>
      <c r="X37" s="2297"/>
      <c r="Y37" s="2297"/>
      <c r="Z37" s="2297"/>
      <c r="AA37" s="2232" t="s">
        <v>421</v>
      </c>
      <c r="AB37" s="2231" t="s">
        <v>473</v>
      </c>
      <c r="AC37" s="2231" t="s">
        <v>465</v>
      </c>
      <c r="AD37" s="2318" t="s">
        <v>420</v>
      </c>
      <c r="AE37" s="2318"/>
      <c r="AF37" s="2297"/>
      <c r="AG37" s="2297"/>
      <c r="AH37" s="2298"/>
      <c r="AI37" s="2299" t="s">
        <v>421</v>
      </c>
      <c r="AJ37" s="2302" t="s">
        <v>423</v>
      </c>
      <c r="AK37" s="2140"/>
      <c r="AQ37" s="1633">
        <v>14</v>
      </c>
    </row>
    <row customHeight="1" ht="35.699999999999996">
      <c r="Q38" s="293"/>
      <c r="R38" s="378"/>
      <c r="S38" s="2295"/>
      <c r="T38" s="2232"/>
      <c r="U38" s="1033"/>
      <c r="V38" s="2126" t="s">
        <v>468</v>
      </c>
      <c r="W38" s="2140"/>
      <c r="X38" s="2316" t="s">
        <v>427</v>
      </c>
      <c r="Y38" s="2341"/>
      <c r="Z38" s="2341"/>
      <c r="AA38" s="2232"/>
      <c r="AB38" s="2231"/>
      <c r="AC38" s="2231"/>
      <c r="AD38" s="2126" t="s">
        <v>468</v>
      </c>
      <c r="AE38" s="2140"/>
      <c r="AF38" s="2341" t="s">
        <v>427</v>
      </c>
      <c r="AG38" s="2341"/>
      <c r="AH38" s="2342"/>
      <c r="AI38" s="2300"/>
      <c r="AJ38" s="2303"/>
      <c r="AK38" s="2140"/>
      <c r="AQ38" s="1633">
        <v>34</v>
      </c>
    </row>
    <row customHeight="1" ht="14.699999999999998">
      <c r="Q39" s="293"/>
      <c r="R39" s="378"/>
      <c r="S39" s="2295"/>
      <c r="T39" s="2232"/>
      <c r="U39" s="1033"/>
      <c r="V39" s="2370" t="str">
        <f>IF($AD$39&lt;&gt;"",$AD$39,"")</f>
        <v/>
      </c>
      <c r="W39" s="2370"/>
      <c r="X39" s="2317"/>
      <c r="Y39" s="2343"/>
      <c r="Z39" s="2343"/>
      <c r="AA39" s="2232"/>
      <c r="AB39" s="2231"/>
      <c r="AC39" s="2231"/>
      <c r="AD39" s="2374"/>
      <c r="AE39" s="2369"/>
      <c r="AF39" s="2343"/>
      <c r="AG39" s="2343"/>
      <c r="AH39" s="2344"/>
      <c r="AI39" s="2300"/>
      <c r="AJ39" s="2303"/>
      <c r="AK39" s="2140"/>
      <c r="AQ39" s="1633">
        <v>14</v>
      </c>
    </row>
    <row customHeight="1" ht="14.699999999999998">
      <c r="A40" s="1268"/>
      <c r="B40" s="1268" t="s">
        <v>132</v>
      </c>
      <c r="C40" s="1268" t="s">
        <v>133</v>
      </c>
      <c r="D40" s="1268" t="s">
        <v>134</v>
      </c>
      <c r="E40" s="1312" t="s">
        <v>428</v>
      </c>
      <c r="F40" s="1312" t="s">
        <v>429</v>
      </c>
      <c r="G40" s="1312" t="s">
        <v>430</v>
      </c>
      <c r="H40" s="1312" t="s">
        <v>431</v>
      </c>
      <c r="I40" s="1312" t="s">
        <v>432</v>
      </c>
      <c r="J40" s="1312" t="s">
        <v>433</v>
      </c>
      <c r="K40" s="1312" t="s">
        <v>434</v>
      </c>
      <c r="L40" s="1312" t="s">
        <v>413</v>
      </c>
      <c r="Q40" s="293"/>
      <c r="R40" s="378"/>
      <c r="S40" s="2295"/>
      <c r="T40" s="2232"/>
      <c r="U40" s="304"/>
      <c r="V40" s="1949" t="s">
        <v>469</v>
      </c>
      <c r="W40" s="1949" t="s">
        <v>470</v>
      </c>
      <c r="X40" s="1937" t="s">
        <v>437</v>
      </c>
      <c r="Y40" s="2291" t="s">
        <v>438</v>
      </c>
      <c r="Z40" s="2336"/>
      <c r="AA40" s="2232"/>
      <c r="AB40" s="2231"/>
      <c r="AC40" s="2231"/>
      <c r="AD40" s="1967" t="s">
        <v>469</v>
      </c>
      <c r="AE40" s="1958" t="s">
        <v>470</v>
      </c>
      <c r="AF40" s="1937" t="s">
        <v>437</v>
      </c>
      <c r="AG40" s="2291" t="s">
        <v>438</v>
      </c>
      <c r="AH40" s="2292"/>
      <c r="AI40" s="2301"/>
      <c r="AJ40" s="2304"/>
      <c r="AK40" s="2140"/>
      <c r="AQ40" s="1633">
        <v>14</v>
      </c>
    </row>
    <row s="1643" customFormat="1" customHeight="1" ht="11.25" hidden="1">
      <c r="A41" s="1268"/>
      <c r="B41" s="1268"/>
      <c r="C41" s="1268"/>
      <c r="D41" s="1268"/>
      <c r="E41" s="1268"/>
      <c r="F41" s="1268"/>
      <c r="G41" s="1268"/>
      <c r="H41" s="1268"/>
      <c r="I41" s="1268"/>
      <c r="J41" s="1268"/>
      <c r="K41" s="1268"/>
      <c r="L41" s="1312"/>
      <c r="M41" s="1964"/>
      <c r="N41" s="1964"/>
      <c r="O41" s="1964"/>
      <c r="P41" s="512"/>
      <c r="Q41" s="1256"/>
      <c r="R41" s="1256">
        <v>1</v>
      </c>
      <c r="S41" s="1279" t="s">
        <v>106</v>
      </c>
      <c r="T41" s="1257" t="s">
        <v>107</v>
      </c>
      <c r="U41" s="1247" t="str">
        <f>OFFSET(U41,0,-1)</f>
        <v>2</v>
      </c>
      <c r="V41" s="1955">
        <f>OFFSET(V41,0,-1)+1</f>
        <v>3</v>
      </c>
      <c r="W41" s="1955">
        <f>OFFSET(W41,0,-1)+1</f>
        <v>4</v>
      </c>
      <c r="X41" s="1955">
        <f>OFFSET(X41,0,-1)+1</f>
        <v>5</v>
      </c>
      <c r="Y41" s="2293">
        <f>OFFSET(Y41,0,-1)+1</f>
        <v>6</v>
      </c>
      <c r="Z41" s="2293"/>
      <c r="AA41" s="1343">
        <f>OFFSET(AA41,0,-2)+1</f>
        <v>7</v>
      </c>
      <c r="AB41" s="1343"/>
      <c r="AC41" s="1343"/>
      <c r="AD41" s="1955">
        <f>OFFSET(AD41,0,-1)+1</f>
        <v>1</v>
      </c>
      <c r="AE41" s="1955">
        <f>OFFSET(AE41,0,-1)+1</f>
        <v>2</v>
      </c>
      <c r="AF41" s="1955">
        <f>OFFSET(AF41,0,-1)+1</f>
        <v>3</v>
      </c>
      <c r="AG41" s="2293">
        <f>OFFSET(AG41,0,-1)+1</f>
        <v>4</v>
      </c>
      <c r="AH41" s="2293"/>
      <c r="AI41" s="1955">
        <f>OFFSET(AI41,0,-2)+1</f>
        <v>5</v>
      </c>
      <c r="AJ41" s="1247">
        <f>OFFSET(AJ41,0,-1)</f>
        <v>5</v>
      </c>
      <c r="AK41" s="1955">
        <f>OFFSET(AK41,0,-1)+1</f>
        <v>6</v>
      </c>
      <c r="AL41" s="1638"/>
      <c r="AM41" s="1638"/>
      <c r="AN41" s="1638"/>
      <c r="AO41" s="1638"/>
      <c r="AP41" s="1638"/>
      <c r="AQ41" s="1643">
        <v>0</v>
      </c>
    </row>
    <row customHeight="1" ht="107.25">
      <c r="A42" s="1269" t="s">
        <v>201</v>
      </c>
      <c r="B42" s="1269"/>
      <c r="C42" s="1269"/>
      <c r="D42" s="1269"/>
      <c r="E42" s="2312">
        <v>1</v>
      </c>
      <c r="F42" s="1269"/>
      <c r="G42" s="1269"/>
      <c r="H42" s="1269"/>
      <c r="I42" s="1269"/>
      <c r="J42" s="1269"/>
      <c r="K42" s="1269"/>
      <c r="L42" s="1312"/>
      <c r="M42" s="1612"/>
      <c r="N42" s="1612"/>
      <c r="O42" s="1612"/>
      <c r="P42" s="1411"/>
      <c r="Q42" s="875"/>
      <c r="R42" s="357"/>
      <c r="S42" s="1957">
        <f>INDEX(PT_DIFFERENTIATION_NUM_NTAR,MATCH(A42,PT_DIFFERENTIATION_NTAR_ID,0))</f>
        <v>0</v>
      </c>
      <c r="T42" s="1527" t="s">
        <v>120</v>
      </c>
      <c r="U42" s="302"/>
      <c r="V42" s="2272"/>
      <c r="W42" s="2272"/>
      <c r="X42" s="2272"/>
      <c r="Y42" s="2272"/>
      <c r="Z42" s="2272"/>
      <c r="AA42" s="2273"/>
      <c r="AB42" s="1951"/>
      <c r="AC42" s="2272" t="str">
        <f>INDEX(PT_DIFFERENTIATION_NTAR,MATCH(A42,PT_DIFFERENTIATION_NTAR_ID,0))</f>
        <v/>
      </c>
      <c r="AD42" s="2272"/>
      <c r="AE42" s="2272"/>
      <c r="AF42" s="2272"/>
      <c r="AG42" s="2272"/>
      <c r="AH42" s="2272"/>
      <c r="AI42" s="2272"/>
      <c r="AJ42" s="2273"/>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201</v>
      </c>
      <c r="B43" s="1269" t="s">
        <v>202</v>
      </c>
      <c r="C43" s="1269"/>
      <c r="D43" s="1269"/>
      <c r="E43" s="2313"/>
      <c r="F43" s="2312">
        <v>1</v>
      </c>
      <c r="G43" s="1269"/>
      <c r="H43" s="1269"/>
      <c r="I43" s="1269"/>
      <c r="J43" s="1269"/>
      <c r="K43" s="1269"/>
      <c r="L43" s="1312"/>
      <c r="M43" s="1612"/>
      <c r="N43" s="1612"/>
      <c r="O43" s="1612"/>
      <c r="P43" s="1968"/>
      <c r="Q43" s="1413"/>
      <c r="R43" s="355"/>
      <c r="S43" s="1957" t="str">
        <f>INDEX(PT_DIFFERENTIATION_NUM_TER,MATCH(B43,PT_DIFFERENTIATION_TER_ID,0))</f>
        <v>.</v>
      </c>
      <c r="T43" s="1524" t="s">
        <v>392</v>
      </c>
      <c r="U43" s="302"/>
      <c r="V43" s="2272"/>
      <c r="W43" s="2272"/>
      <c r="X43" s="2272"/>
      <c r="Y43" s="2272"/>
      <c r="Z43" s="2272"/>
      <c r="AA43" s="2273"/>
      <c r="AB43" s="1951"/>
      <c r="AC43" s="2272" t="str">
        <f>INDEX(PT_DIFFERENTIATION_TER,MATCH(B43,PT_DIFFERENTIATION_TER_ID,0))</f>
        <v/>
      </c>
      <c r="AD43" s="2272"/>
      <c r="AE43" s="2272"/>
      <c r="AF43" s="2272"/>
      <c r="AG43" s="2272"/>
      <c r="AH43" s="2272"/>
      <c r="AI43" s="2272"/>
      <c r="AJ43" s="2273"/>
      <c r="AK43" s="1260" t="s">
        <v>393</v>
      </c>
      <c r="AM43" s="1626"/>
      <c r="AN43" s="1626" t="str">
        <f>IF(T43="","",T43)</f>
        <v>Территория действия тарифа</v>
      </c>
      <c r="AO43" s="1626"/>
      <c r="AP43" s="1626"/>
      <c r="AQ43" s="1633">
        <v>21</v>
      </c>
    </row>
    <row customHeight="1" ht="24">
      <c r="A44" s="1269" t="s">
        <v>201</v>
      </c>
      <c r="B44" s="1269" t="s">
        <v>202</v>
      </c>
      <c r="C44" s="1269" t="s">
        <v>203</v>
      </c>
      <c r="D44" s="1269"/>
      <c r="E44" s="2313"/>
      <c r="F44" s="2313"/>
      <c r="G44" s="2312">
        <v>1</v>
      </c>
      <c r="H44" s="1269"/>
      <c r="I44" s="1269"/>
      <c r="J44" s="1269"/>
      <c r="K44" s="1269"/>
      <c r="L44" s="1312"/>
      <c r="M44" s="1612"/>
      <c r="N44" s="1612"/>
      <c r="O44" s="1612"/>
      <c r="P44" s="1414"/>
      <c r="Q44" s="1413"/>
      <c r="R44" s="355"/>
      <c r="S44" s="1957" t="str">
        <f>INDEX(PT_DIFFERENTIATION_NUM_CS,MATCH(C44,PT_DIFFERENTIATION_CS_ID,0))</f>
        <v>..</v>
      </c>
      <c r="T44" s="311" t="s">
        <v>394</v>
      </c>
      <c r="U44" s="302"/>
      <c r="V44" s="2272"/>
      <c r="W44" s="2272"/>
      <c r="X44" s="2272"/>
      <c r="Y44" s="2272"/>
      <c r="Z44" s="2272"/>
      <c r="AA44" s="2273"/>
      <c r="AB44" s="1951"/>
      <c r="AC44" s="2272" t="str">
        <f>INDEX(PT_DIFFERENTIATION_CS,MATCH(C44,PT_DIFFERENTIATION_CS_ID,0))</f>
        <v/>
      </c>
      <c r="AD44" s="2272"/>
      <c r="AE44" s="2272"/>
      <c r="AF44" s="2272"/>
      <c r="AG44" s="2272"/>
      <c r="AH44" s="2272"/>
      <c r="AI44" s="2272"/>
      <c r="AJ44" s="2273"/>
      <c r="AK44" s="1260" t="s">
        <v>395</v>
      </c>
      <c r="AM44" s="1626"/>
      <c r="AN44" s="1626" t="str">
        <f>IF(T44="","",T44)</f>
        <v>Наименование системы теплоснабжения </v>
      </c>
      <c r="AO44" s="1626"/>
      <c r="AP44" s="1626"/>
      <c r="AQ44" s="1633">
        <v>23</v>
      </c>
    </row>
    <row customHeight="1" ht="22.049999999999997">
      <c r="A45" s="1269" t="s">
        <v>201</v>
      </c>
      <c r="B45" s="1269" t="s">
        <v>202</v>
      </c>
      <c r="C45" s="1269" t="s">
        <v>203</v>
      </c>
      <c r="D45" s="1269" t="s">
        <v>204</v>
      </c>
      <c r="E45" s="2313"/>
      <c r="F45" s="2313"/>
      <c r="G45" s="2313"/>
      <c r="H45" s="2312">
        <v>1</v>
      </c>
      <c r="I45" s="1269"/>
      <c r="J45" s="1269"/>
      <c r="K45" s="1269"/>
      <c r="L45" s="1312"/>
      <c r="M45" s="1612"/>
      <c r="N45" s="1612"/>
      <c r="O45" s="1612"/>
      <c r="P45" s="1414"/>
      <c r="Q45" s="1413"/>
      <c r="R45" s="355"/>
      <c r="S45" s="1957" t="str">
        <f>INDEX(PT_DIFFERENTIATION_NUM_IST_TE,MATCH(D45,PT_DIFFERENTIATION_IST_TE_ID,0))</f>
        <v>...</v>
      </c>
      <c r="T45" s="312" t="s">
        <v>396</v>
      </c>
      <c r="U45" s="302"/>
      <c r="V45" s="2272"/>
      <c r="W45" s="2272"/>
      <c r="X45" s="2272"/>
      <c r="Y45" s="2272"/>
      <c r="Z45" s="2272"/>
      <c r="AA45" s="2273"/>
      <c r="AB45" s="1951"/>
      <c r="AC45" s="2272" t="str">
        <f>INDEX(PT_DIFFERENTIATION_IST_TE,MATCH(D45,PT_DIFFERENTIATION_IST_TE_ID,0))</f>
        <v/>
      </c>
      <c r="AD45" s="2272"/>
      <c r="AE45" s="2272"/>
      <c r="AF45" s="2272"/>
      <c r="AG45" s="2272"/>
      <c r="AH45" s="2272"/>
      <c r="AI45" s="2272"/>
      <c r="AJ45" s="2273"/>
      <c r="AK45" s="1260" t="s">
        <v>397</v>
      </c>
      <c r="AM45" s="1626"/>
      <c r="AN45" s="1626" t="str">
        <f>IF(T45="","",T45)</f>
        <v>Источник тепловой энергии  </v>
      </c>
      <c r="AO45" s="1626"/>
      <c r="AP45" s="1626"/>
      <c r="AQ45" s="1633">
        <v>21</v>
      </c>
    </row>
    <row s="1644" customFormat="1" customHeight="1" ht="0">
      <c r="A46" s="1377" t="s">
        <v>201</v>
      </c>
      <c r="B46" s="1377" t="s">
        <v>202</v>
      </c>
      <c r="C46" s="1377" t="s">
        <v>203</v>
      </c>
      <c r="D46" s="1377" t="s">
        <v>204</v>
      </c>
      <c r="E46" s="2313"/>
      <c r="F46" s="2313"/>
      <c r="G46" s="2313"/>
      <c r="H46" s="2313"/>
      <c r="I46" s="2140" t="str">
        <f>S45&amp;".1"</f>
        <v>....1</v>
      </c>
      <c r="J46" s="1377"/>
      <c r="K46" s="1377"/>
      <c r="L46" s="1383" t="s">
        <v>398</v>
      </c>
      <c r="M46" s="1248"/>
      <c r="N46" s="1248"/>
      <c r="O46" s="1248"/>
      <c r="P46" s="2281">
        <v>1</v>
      </c>
      <c r="Q46" s="1953"/>
      <c r="R46" s="358"/>
      <c r="S46" s="1044"/>
      <c r="T46" s="1385"/>
      <c r="U46" s="1386"/>
      <c r="V46" s="2320"/>
      <c r="W46" s="2320"/>
      <c r="X46" s="2320"/>
      <c r="Y46" s="2320"/>
      <c r="Z46" s="2320"/>
      <c r="AA46" s="2321"/>
      <c r="AB46" s="1959"/>
      <c r="AC46" s="2320"/>
      <c r="AD46" s="2320"/>
      <c r="AE46" s="2320"/>
      <c r="AF46" s="2320"/>
      <c r="AG46" s="2320"/>
      <c r="AH46" s="2320"/>
      <c r="AI46" s="2320"/>
      <c r="AJ46" s="2321"/>
      <c r="AK46" s="1387"/>
      <c r="AM46" s="1626"/>
      <c r="AN46" s="1626" t="str">
        <f>IF(T46="","",T46)</f>
        <v/>
      </c>
      <c r="AO46" s="1626"/>
      <c r="AP46" s="1626"/>
      <c r="AQ46" s="1638">
        <v>0</v>
      </c>
    </row>
    <row s="1644" customFormat="1" customHeight="1" ht="0">
      <c r="A47" s="1377" t="s">
        <v>201</v>
      </c>
      <c r="B47" s="1377" t="s">
        <v>202</v>
      </c>
      <c r="C47" s="1377" t="s">
        <v>203</v>
      </c>
      <c r="D47" s="1377" t="s">
        <v>204</v>
      </c>
      <c r="E47" s="2313"/>
      <c r="F47" s="2313"/>
      <c r="G47" s="2313"/>
      <c r="H47" s="2313"/>
      <c r="I47" s="2124"/>
      <c r="J47" s="2140" t="str">
        <f>S45&amp;".1"</f>
        <v>....1</v>
      </c>
      <c r="K47" s="1377"/>
      <c r="L47" s="1383"/>
      <c r="M47" s="1248"/>
      <c r="N47" s="1248"/>
      <c r="O47" s="1248"/>
      <c r="P47" s="2281"/>
      <c r="Q47" s="2281">
        <v>1</v>
      </c>
      <c r="R47" s="359"/>
      <c r="S47" s="1044"/>
      <c r="T47" s="1401"/>
      <c r="U47" s="1386"/>
      <c r="V47" s="2320"/>
      <c r="W47" s="2320"/>
      <c r="X47" s="2320"/>
      <c r="Y47" s="2320"/>
      <c r="Z47" s="2320"/>
      <c r="AA47" s="2321"/>
      <c r="AB47" s="1959"/>
      <c r="AC47" s="2320"/>
      <c r="AD47" s="2320"/>
      <c r="AE47" s="2320"/>
      <c r="AF47" s="2320"/>
      <c r="AG47" s="2320"/>
      <c r="AH47" s="2320"/>
      <c r="AI47" s="2320"/>
      <c r="AJ47" s="2321"/>
      <c r="AK47" s="1387"/>
      <c r="AM47" s="1626"/>
      <c r="AN47" s="1626" t="str">
        <f>IF(T47="","",T47)</f>
        <v/>
      </c>
      <c r="AO47" s="1626"/>
      <c r="AP47" s="1626"/>
      <c r="AQ47" s="1638">
        <v>0</v>
      </c>
    </row>
    <row customHeight="1" ht="22.049999999999997">
      <c r="A48" s="1269" t="s">
        <v>201</v>
      </c>
      <c r="B48" s="1269" t="s">
        <v>202</v>
      </c>
      <c r="C48" s="1269" t="s">
        <v>203</v>
      </c>
      <c r="D48" s="1269" t="s">
        <v>204</v>
      </c>
      <c r="E48" s="2313"/>
      <c r="F48" s="2313"/>
      <c r="G48" s="2313"/>
      <c r="H48" s="2313"/>
      <c r="I48" s="2124"/>
      <c r="J48" s="2124"/>
      <c r="K48" s="1940" t="str">
        <f>S45&amp;".1"</f>
        <v>....1</v>
      </c>
      <c r="L48" s="1312"/>
      <c r="P48" s="2281"/>
      <c r="Q48" s="2281"/>
      <c r="R48" s="359">
        <v>1</v>
      </c>
      <c r="S48" s="1961" t="str">
        <f>$K48</f>
        <v>....1</v>
      </c>
      <c r="T48" s="1960"/>
      <c r="U48" s="302"/>
      <c r="V48" s="753"/>
      <c r="W48" s="1259"/>
      <c r="X48" s="1954"/>
      <c r="Y48" s="1941" t="s">
        <v>65</v>
      </c>
      <c r="Z48" s="1954"/>
      <c r="AA48" s="1941" t="s">
        <v>65</v>
      </c>
      <c r="AB48" s="1963"/>
      <c r="AC48" s="1962" t="s">
        <v>22</v>
      </c>
      <c r="AD48" s="753"/>
      <c r="AE48" s="1259"/>
      <c r="AF48" s="1954"/>
      <c r="AG48" s="1941" t="s">
        <v>65</v>
      </c>
      <c r="AH48" s="1954"/>
      <c r="AI48" s="1941" t="s">
        <v>65</v>
      </c>
      <c r="AJ48" s="1350"/>
      <c r="AK48" s="2307" t="s">
        <v>471</v>
      </c>
      <c r="AL48" s="1638">
        <f>STRCHECKDATE(#REF!)</f>
      </c>
      <c r="AM48" s="1626"/>
      <c r="AN48" s="1626" t="str">
        <f>IF(T48="","",T48)</f>
        <v/>
      </c>
      <c r="AO48" s="1626"/>
      <c r="AP48" s="1626"/>
      <c r="AQ48" s="1633">
        <v>21</v>
      </c>
    </row>
    <row customHeight="1" ht="11.549999999999999">
      <c r="A49" s="1269" t="s">
        <v>201</v>
      </c>
      <c r="B49" s="1269" t="s">
        <v>202</v>
      </c>
      <c r="C49" s="1269" t="s">
        <v>203</v>
      </c>
      <c r="D49" s="1269" t="s">
        <v>204</v>
      </c>
      <c r="E49" s="2313"/>
      <c r="F49" s="2313"/>
      <c r="G49" s="2313"/>
      <c r="H49" s="2313"/>
      <c r="I49" s="2124"/>
      <c r="J49" s="2140"/>
      <c r="K49" s="1269"/>
      <c r="L49" s="1312"/>
      <c r="P49" s="2281"/>
      <c r="Q49" s="2281"/>
      <c r="R49" s="358"/>
      <c r="S49" s="1280"/>
      <c r="T49" s="289" t="s">
        <v>459</v>
      </c>
      <c r="U49" s="602"/>
      <c r="V49" s="602"/>
      <c r="W49" s="602"/>
      <c r="X49" s="602"/>
      <c r="Y49" s="602"/>
      <c r="Z49" s="602"/>
      <c r="AA49" s="326"/>
      <c r="AB49" s="602"/>
      <c r="AC49" s="602"/>
      <c r="AD49" s="602"/>
      <c r="AE49" s="602"/>
      <c r="AF49" s="602"/>
      <c r="AG49" s="602"/>
      <c r="AH49" s="602"/>
      <c r="AI49" s="602"/>
      <c r="AJ49" s="326"/>
      <c r="AK49" s="2309"/>
      <c r="AM49" s="1626"/>
      <c r="AN49" s="1626" t="str">
        <f>IF(T49="","",T49)</f>
        <v>Добавить строку</v>
      </c>
      <c r="AO49" s="1626"/>
      <c r="AP49" s="1626"/>
      <c r="AQ49" s="1633">
        <v>11</v>
      </c>
    </row>
    <row s="1644" customFormat="1" customHeight="1" ht="1.05">
      <c r="A50" s="1377" t="s">
        <v>201</v>
      </c>
      <c r="B50" s="1377" t="s">
        <v>202</v>
      </c>
      <c r="C50" s="1377" t="s">
        <v>203</v>
      </c>
      <c r="D50" s="1377" t="s">
        <v>204</v>
      </c>
      <c r="E50" s="2313"/>
      <c r="F50" s="2313"/>
      <c r="G50" s="2313"/>
      <c r="H50" s="2313"/>
      <c r="I50" s="2140"/>
      <c r="J50" s="1377"/>
      <c r="K50" s="1377"/>
      <c r="L50" s="1383"/>
      <c r="M50" s="1248"/>
      <c r="N50" s="1248"/>
      <c r="O50" s="1248"/>
      <c r="P50" s="2281"/>
      <c r="Q50" s="1953"/>
      <c r="R50" s="358"/>
      <c r="S50" s="1388"/>
      <c r="T50" s="1389" t="s">
        <v>407</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201</v>
      </c>
      <c r="B51" s="1377" t="s">
        <v>202</v>
      </c>
      <c r="C51" s="1377" t="s">
        <v>203</v>
      </c>
      <c r="D51" s="1377" t="s">
        <v>204</v>
      </c>
      <c r="E51" s="2313"/>
      <c r="F51" s="2313"/>
      <c r="G51" s="2313"/>
      <c r="H51" s="2312"/>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201</v>
      </c>
      <c r="B52" s="1377" t="s">
        <v>202</v>
      </c>
      <c r="C52" s="1377" t="s">
        <v>203</v>
      </c>
      <c r="D52" s="1376"/>
      <c r="E52" s="2313"/>
      <c r="F52" s="2313"/>
      <c r="G52" s="2312"/>
      <c r="H52" s="1376"/>
      <c r="I52" s="1376"/>
      <c r="J52" s="1376"/>
      <c r="K52" s="1376"/>
      <c r="L52" s="1379"/>
      <c r="M52" s="1380"/>
      <c r="N52" s="1380"/>
      <c r="O52" s="353"/>
      <c r="P52" s="1318"/>
      <c r="Q52" s="1319"/>
      <c r="R52" s="1318"/>
      <c r="S52" s="1324"/>
      <c r="T52" s="1327" t="s">
        <v>409</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201</v>
      </c>
      <c r="B53" s="1377" t="s">
        <v>202</v>
      </c>
      <c r="C53" s="1376"/>
      <c r="D53" s="1376"/>
      <c r="E53" s="2313"/>
      <c r="F53" s="2312"/>
      <c r="G53" s="1376"/>
      <c r="H53" s="1376"/>
      <c r="I53" s="1376"/>
      <c r="J53" s="1376"/>
      <c r="K53" s="1376"/>
      <c r="L53" s="1379"/>
      <c r="M53" s="1381"/>
      <c r="N53" s="1381"/>
      <c r="O53" s="353"/>
      <c r="P53" s="1318"/>
      <c r="Q53" s="1319"/>
      <c r="R53" s="1318"/>
      <c r="S53" s="1324"/>
      <c r="T53" s="1327" t="s">
        <v>410</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201</v>
      </c>
      <c r="B54" s="1377"/>
      <c r="C54" s="1377"/>
      <c r="D54" s="1377"/>
      <c r="E54" s="2313"/>
      <c r="F54" s="1377"/>
      <c r="G54" s="1377"/>
      <c r="H54" s="1377"/>
      <c r="I54" s="1377"/>
      <c r="J54" s="1377"/>
      <c r="K54" s="1377"/>
      <c r="L54" s="1383"/>
      <c r="M54" s="1381"/>
      <c r="N54" s="1381"/>
      <c r="O54" s="353"/>
      <c r="P54" s="382"/>
      <c r="Q54" s="1346"/>
      <c r="R54" s="382"/>
      <c r="S54" s="1324"/>
      <c r="T54" s="1327" t="s">
        <v>411</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201</v>
      </c>
      <c r="B55" s="1377"/>
      <c r="C55" s="1377"/>
      <c r="D55" s="1377"/>
      <c r="E55" s="2312"/>
      <c r="F55" s="1377"/>
      <c r="G55" s="1377"/>
      <c r="H55" s="1377"/>
      <c r="I55" s="1377"/>
      <c r="J55" s="1377"/>
      <c r="K55" s="1377"/>
      <c r="L55" s="1383"/>
      <c r="M55" s="1381"/>
      <c r="N55" s="1381"/>
      <c r="O55" s="353"/>
      <c r="P55" s="382"/>
      <c r="Q55" s="1346"/>
      <c r="R55" s="382"/>
      <c r="S55" s="1324"/>
      <c r="T55" s="1327" t="s">
        <v>411</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439</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76"/>
      <c r="U58" s="2276"/>
      <c r="V58" s="2276"/>
      <c r="W58" s="2276"/>
      <c r="X58" s="2276"/>
      <c r="Y58" s="2276"/>
      <c r="Z58" s="2276"/>
      <c r="AA58" s="2276"/>
      <c r="AB58" s="2276"/>
      <c r="AC58" s="2276"/>
      <c r="AD58" s="2276"/>
      <c r="AE58" s="2276"/>
      <c r="AF58" s="2276"/>
      <c r="AG58" s="2276"/>
      <c r="AH58" s="2276"/>
      <c r="AI58" s="2276"/>
      <c r="AJ58" s="2276"/>
      <c r="AK58" s="2276"/>
      <c r="AQ58" s="1633">
        <v>19</v>
      </c>
    </row>
    <row customHeight="1" ht="21">
      <c r="O59" s="1637"/>
      <c r="T59" s="2276"/>
      <c r="U59" s="2276"/>
      <c r="V59" s="2276"/>
      <c r="W59" s="2276"/>
      <c r="X59" s="2276"/>
      <c r="Y59" s="2276"/>
      <c r="Z59" s="2276"/>
      <c r="AA59" s="2276"/>
      <c r="AB59" s="2276"/>
      <c r="AC59" s="2276"/>
      <c r="AD59" s="2276"/>
      <c r="AE59" s="2276"/>
      <c r="AF59" s="2276"/>
      <c r="AG59" s="2276"/>
      <c r="AH59" s="2276"/>
      <c r="AI59" s="2276"/>
      <c r="AJ59" s="2276"/>
      <c r="AK59" s="2276"/>
      <c r="AQ59" s="1633">
        <v>20</v>
      </c>
    </row>
    <row customHeight="1" ht="14.699999999999998">
      <c r="O60" s="1637"/>
      <c r="T60" s="1952"/>
      <c r="U60" s="1952"/>
      <c r="V60" s="1952"/>
      <c r="W60" s="1952"/>
      <c r="X60" s="1952"/>
      <c r="Y60" s="1952"/>
      <c r="Z60" s="1952"/>
      <c r="AA60" s="1952"/>
      <c r="AB60" s="1952"/>
      <c r="AC60" s="1952"/>
      <c r="AD60" s="1952"/>
      <c r="AE60" s="1952"/>
      <c r="AF60" s="1952"/>
      <c r="AG60" s="1952"/>
      <c r="AH60" s="1952"/>
      <c r="AI60" s="1952"/>
      <c r="AJ60" s="1952"/>
      <c r="AK60" s="1952"/>
      <c r="AQ60" s="1633">
        <v>14</v>
      </c>
    </row>
    <row customHeight="1" ht="19.95">
      <c r="O61" s="1637"/>
      <c r="T61" s="2276"/>
      <c r="U61" s="2276"/>
      <c r="V61" s="2276"/>
      <c r="W61" s="2276"/>
      <c r="X61" s="2276"/>
      <c r="Y61" s="2276"/>
      <c r="Z61" s="2276"/>
      <c r="AA61" s="2276"/>
      <c r="AB61" s="2276"/>
      <c r="AC61" s="2276"/>
      <c r="AD61" s="2276"/>
      <c r="AE61" s="2276"/>
      <c r="AF61" s="2276"/>
      <c r="AG61" s="2276"/>
      <c r="AH61" s="2276"/>
      <c r="AI61" s="2276"/>
      <c r="AJ61" s="2276"/>
      <c r="AK61" s="2276"/>
      <c r="AQ61" s="1633">
        <v>19</v>
      </c>
    </row>
    <row customHeight="1" ht="16.8">
      <c r="O62" s="1637"/>
      <c r="T62" s="2276"/>
      <c r="U62" s="2276"/>
      <c r="V62" s="2276"/>
      <c r="W62" s="2276"/>
      <c r="X62" s="2276"/>
      <c r="Y62" s="2276"/>
      <c r="Z62" s="2276"/>
      <c r="AA62" s="2276"/>
      <c r="AB62" s="2276"/>
      <c r="AC62" s="2276"/>
      <c r="AD62" s="2276"/>
      <c r="AE62" s="2276"/>
      <c r="AF62" s="2276"/>
      <c r="AG62" s="2276"/>
      <c r="AH62" s="2276"/>
      <c r="AI62" s="2276"/>
      <c r="AJ62" s="2276"/>
      <c r="AK62" s="2276"/>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38">
        <v>0</v>
      </c>
      <c r="M64" s="1964">
        <v>0</v>
      </c>
      <c r="N64" s="1964">
        <v>0</v>
      </c>
      <c r="O64" s="1964">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B1498-ED95-55A5-9488-A6CBE3A86F3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27">
        <f>INDEX(PT_DIFFERENTIATION_NUM_NTAR,MATCH(A2,PT_DIFFERENTIATION_NTAR_ID,0))</f>
      </c>
      <c r="T2" s="300" t="s">
        <v>120</v>
      </c>
      <c r="U2" s="302"/>
      <c r="V2" s="2271"/>
      <c r="W2" s="2272"/>
      <c r="X2" s="2272"/>
      <c r="Y2" s="2272"/>
      <c r="Z2" s="2272"/>
      <c r="AA2" s="2272"/>
      <c r="AB2" s="2273"/>
      <c r="AC2" s="2271">
        <f>INDEX(PT_DIFFERENTIATION_NTAR,MATCH(A2,PT_DIFFERENTIATION_NTAR_ID,0))</f>
      </c>
      <c r="AD2" s="2272"/>
      <c r="AE2" s="2272"/>
      <c r="AF2" s="2272"/>
      <c r="AG2" s="2272"/>
      <c r="AH2" s="2272"/>
      <c r="AI2" s="2272"/>
      <c r="AJ2" s="2273"/>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78"/>
      <c r="F3" s="2277">
        <v>1</v>
      </c>
      <c r="G3" s="1365"/>
      <c r="H3" s="1365"/>
      <c r="I3" s="1365"/>
      <c r="J3" s="1365"/>
      <c r="K3" s="1365"/>
      <c r="L3" s="1366"/>
      <c r="M3" s="1367"/>
      <c r="N3" s="1367"/>
      <c r="O3" s="1367"/>
      <c r="P3" s="1425"/>
      <c r="Q3" s="354"/>
      <c r="R3" s="355"/>
      <c r="S3" s="1427">
        <f>INDEX(PT_DIFFERENTIATION_NUM_TER,MATCH(B3,PT_DIFFERENTIATION_TER_ID,0))</f>
      </c>
      <c r="T3" s="310" t="s">
        <v>392</v>
      </c>
      <c r="U3" s="302"/>
      <c r="V3" s="2271"/>
      <c r="W3" s="2272"/>
      <c r="X3" s="2272"/>
      <c r="Y3" s="2272"/>
      <c r="Z3" s="2272"/>
      <c r="AA3" s="2272"/>
      <c r="AB3" s="2273"/>
      <c r="AC3" s="2271">
        <f>INDEX(PT_DIFFERENTIATION_TER,MATCH(B3,PT_DIFFERENTIATION_TER_ID,0))</f>
      </c>
      <c r="AD3" s="2272"/>
      <c r="AE3" s="2272"/>
      <c r="AF3" s="2272"/>
      <c r="AG3" s="2272"/>
      <c r="AH3" s="2272"/>
      <c r="AI3" s="2272"/>
      <c r="AJ3" s="2273"/>
      <c r="AK3" s="1260" t="s">
        <v>393</v>
      </c>
      <c r="AM3" s="502"/>
      <c r="AN3" s="502" t="str">
        <f>IF(T3="","",T3)</f>
        <v>Территория действия тарифа</v>
      </c>
      <c r="AO3" s="502"/>
      <c r="AP3" s="502"/>
      <c r="AQ3" s="1157">
        <v>0</v>
      </c>
    </row>
    <row customHeight="1" ht="23.25" hidden="1">
      <c r="A4" s="1365"/>
      <c r="B4" s="1365"/>
      <c r="C4" s="1365"/>
      <c r="D4" s="1365"/>
      <c r="E4" s="2278"/>
      <c r="F4" s="2278"/>
      <c r="G4" s="2277">
        <v>1</v>
      </c>
      <c r="H4" s="1365"/>
      <c r="I4" s="1365"/>
      <c r="J4" s="1365"/>
      <c r="K4" s="1365"/>
      <c r="L4" s="1366"/>
      <c r="M4" s="1367"/>
      <c r="N4" s="1367"/>
      <c r="O4" s="1367"/>
      <c r="P4" s="356"/>
      <c r="Q4" s="354"/>
      <c r="R4" s="355"/>
      <c r="S4" s="1427">
        <f>INDEX(PT_DIFFERENTIATION_NUM_CS,MATCH(C4,PT_DIFFERENTIATION_CS_ID,0))</f>
      </c>
      <c r="T4" s="311" t="s">
        <v>474</v>
      </c>
      <c r="U4" s="302"/>
      <c r="V4" s="2271"/>
      <c r="W4" s="2272"/>
      <c r="X4" s="2272"/>
      <c r="Y4" s="2272"/>
      <c r="Z4" s="2272"/>
      <c r="AA4" s="2272"/>
      <c r="AB4" s="2273"/>
      <c r="AC4" s="2271">
        <f>INDEX(PT_DIFFERENTIATION_CS,MATCH(C4,PT_DIFFERENTIATION_CS_ID,0))</f>
      </c>
      <c r="AD4" s="2272"/>
      <c r="AE4" s="2272"/>
      <c r="AF4" s="2272"/>
      <c r="AG4" s="2272"/>
      <c r="AH4" s="2272"/>
      <c r="AI4" s="2272"/>
      <c r="AJ4" s="2273"/>
      <c r="AK4" s="1260" t="s">
        <v>475</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78"/>
      <c r="F5" s="2278"/>
      <c r="G5" s="2278"/>
      <c r="H5" s="2278"/>
      <c r="I5" s="2279">
        <f>S4&amp;".1"</f>
      </c>
      <c r="J5" s="1365"/>
      <c r="K5" s="1365"/>
      <c r="L5" s="1366"/>
      <c r="P5" s="2281">
        <v>1</v>
      </c>
      <c r="Q5" s="1424"/>
      <c r="R5" s="358"/>
      <c r="S5" s="1427">
        <f>$I5</f>
      </c>
      <c r="T5" s="287" t="s">
        <v>476</v>
      </c>
      <c r="U5" s="302"/>
      <c r="V5" s="2375"/>
      <c r="W5" s="2376"/>
      <c r="X5" s="2376"/>
      <c r="Y5" s="2376"/>
      <c r="Z5" s="2376"/>
      <c r="AA5" s="2376"/>
      <c r="AB5" s="2377"/>
      <c r="AC5" s="2378"/>
      <c r="AD5" s="2379"/>
      <c r="AE5" s="2379"/>
      <c r="AF5" s="2379"/>
      <c r="AG5" s="2379"/>
      <c r="AH5" s="2379"/>
      <c r="AI5" s="2379"/>
      <c r="AJ5" s="2380"/>
      <c r="AK5" s="1260" t="s">
        <v>477</v>
      </c>
      <c r="AM5" s="502"/>
      <c r="AN5" s="502" t="str">
        <f>IF(T5="","",T5)</f>
        <v>Наименование признака дифференциации</v>
      </c>
      <c r="AO5" s="502"/>
      <c r="AP5" s="502"/>
      <c r="AQ5" s="1157">
        <v>0</v>
      </c>
    </row>
    <row customHeight="1" ht="23.25" hidden="1">
      <c r="A6" s="1365"/>
      <c r="B6" s="1365"/>
      <c r="C6" s="1365"/>
      <c r="D6" s="1365"/>
      <c r="E6" s="2278"/>
      <c r="F6" s="2278"/>
      <c r="G6" s="2278"/>
      <c r="H6" s="2278"/>
      <c r="I6" s="2280"/>
      <c r="J6" s="2279">
        <f>I5&amp;".1"</f>
      </c>
      <c r="K6" s="1365"/>
      <c r="L6" s="1366" t="s">
        <v>401</v>
      </c>
      <c r="P6" s="2281"/>
      <c r="Q6" s="2281">
        <v>1</v>
      </c>
      <c r="R6" s="359"/>
      <c r="S6" s="1427">
        <f>$J6</f>
      </c>
      <c r="T6" s="288" t="s">
        <v>402</v>
      </c>
      <c r="U6" s="302"/>
      <c r="V6" s="2265"/>
      <c r="W6" s="2266"/>
      <c r="X6" s="2266"/>
      <c r="Y6" s="2266"/>
      <c r="Z6" s="2266"/>
      <c r="AA6" s="2266"/>
      <c r="AB6" s="2267"/>
      <c r="AC6" s="2265"/>
      <c r="AD6" s="2266"/>
      <c r="AE6" s="2266"/>
      <c r="AF6" s="2266"/>
      <c r="AG6" s="2266"/>
      <c r="AH6" s="2266"/>
      <c r="AI6" s="2266"/>
      <c r="AJ6" s="2267"/>
      <c r="AK6" s="1309" t="s">
        <v>478</v>
      </c>
      <c r="AM6" s="502"/>
      <c r="AN6" s="502" t="str">
        <f>IF(T6="","",T6)</f>
        <v>Группа потребителей</v>
      </c>
      <c r="AO6" s="502"/>
      <c r="AP6" s="502"/>
      <c r="AQ6" s="1157">
        <v>0</v>
      </c>
    </row>
    <row customHeight="1" ht="23.25" hidden="1">
      <c r="A7" s="1365"/>
      <c r="B7" s="1365"/>
      <c r="C7" s="1365"/>
      <c r="D7" s="1365"/>
      <c r="E7" s="2278"/>
      <c r="F7" s="2278"/>
      <c r="G7" s="2278"/>
      <c r="H7" s="2278"/>
      <c r="I7" s="2280"/>
      <c r="J7" s="2280"/>
      <c r="K7" s="2279">
        <f>J6&amp;".1"</f>
      </c>
      <c r="L7" s="1366"/>
      <c r="P7" s="2281"/>
      <c r="Q7" s="2281"/>
      <c r="R7" s="359">
        <v>1</v>
      </c>
      <c r="S7" s="1427">
        <f>$K7</f>
      </c>
      <c r="T7" s="1439"/>
      <c r="U7" s="302"/>
      <c r="V7" s="753"/>
      <c r="W7" s="753"/>
      <c r="X7" s="1259"/>
      <c r="Y7" s="2282"/>
      <c r="Z7" s="2150" t="s">
        <v>65</v>
      </c>
      <c r="AA7" s="2282"/>
      <c r="AB7" s="2150" t="s">
        <v>65</v>
      </c>
      <c r="AC7" s="753"/>
      <c r="AD7" s="753"/>
      <c r="AE7" s="1259"/>
      <c r="AF7" s="2282"/>
      <c r="AG7" s="2150" t="s">
        <v>65</v>
      </c>
      <c r="AH7" s="2284"/>
      <c r="AI7" s="2150" t="s">
        <v>65</v>
      </c>
      <c r="AJ7" s="1440"/>
      <c r="AK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78"/>
      <c r="F8" s="2278"/>
      <c r="G8" s="2278"/>
      <c r="H8" s="2278"/>
      <c r="I8" s="2280"/>
      <c r="J8" s="2280"/>
      <c r="K8" s="2279"/>
      <c r="L8" s="1366"/>
      <c r="P8" s="2281"/>
      <c r="Q8" s="2281"/>
      <c r="R8" s="359"/>
      <c r="S8" s="1426"/>
      <c r="T8" s="302"/>
      <c r="U8" s="302"/>
      <c r="V8" s="327"/>
      <c r="W8" s="327"/>
      <c r="X8" s="330" t="str">
        <f>Y7&amp;"-"&amp;AA7</f>
        <v>-</v>
      </c>
      <c r="Y8" s="2283"/>
      <c r="Z8" s="2150"/>
      <c r="AA8" s="2283"/>
      <c r="AB8" s="2150"/>
      <c r="AC8" s="327"/>
      <c r="AD8" s="327"/>
      <c r="AE8" s="330" t="str">
        <f>AF7&amp;"-"&amp;AH7</f>
        <v>-</v>
      </c>
      <c r="AF8" s="2283"/>
      <c r="AG8" s="2150"/>
      <c r="AH8" s="2285"/>
      <c r="AI8" s="2150"/>
      <c r="AJ8" s="1441"/>
      <c r="AK8" s="2381"/>
      <c r="AM8" s="502"/>
      <c r="AN8" s="502" t="str">
        <f>IF(T8="","",T8)</f>
        <v/>
      </c>
      <c r="AO8" s="502"/>
      <c r="AP8" s="502"/>
      <c r="AQ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369"/>
      <c r="X9" s="369"/>
      <c r="Y9" s="369"/>
      <c r="Z9" s="369"/>
      <c r="AA9" s="369"/>
      <c r="AB9" s="369"/>
      <c r="AC9" s="369"/>
      <c r="AD9" s="369"/>
      <c r="AE9" s="369"/>
      <c r="AF9" s="369"/>
      <c r="AG9" s="369"/>
      <c r="AH9" s="369"/>
      <c r="AI9" s="369"/>
      <c r="AJ9" s="369"/>
      <c r="AK9" s="1260" t="s">
        <v>480</v>
      </c>
      <c r="AM9" s="502"/>
      <c r="AN9" s="502" t="str">
        <f>IF(T9="","",T9)</f>
        <v>Добавить значение признака дифференциации</v>
      </c>
      <c r="AO9" s="502"/>
      <c r="AP9" s="502"/>
      <c r="AQ9" s="1157">
        <v>0</v>
      </c>
    </row>
    <row customHeight="1" ht="21" hidden="1">
      <c r="A10" s="1365"/>
      <c r="B10" s="1365"/>
      <c r="C10" s="1365"/>
      <c r="D10" s="1365"/>
      <c r="E10" s="2278"/>
      <c r="F10" s="2278"/>
      <c r="G10" s="2278"/>
      <c r="H10" s="2278"/>
      <c r="I10" s="2279"/>
      <c r="J10" s="1365"/>
      <c r="K10" s="1365"/>
      <c r="L10" s="1366"/>
      <c r="P10" s="2281"/>
      <c r="Q10" s="1424"/>
      <c r="R10" s="358"/>
      <c r="S10" s="1280"/>
      <c r="T10" s="367" t="s">
        <v>407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78"/>
      <c r="F12" s="2277"/>
      <c r="G12" s="1316"/>
      <c r="H12" s="1316"/>
      <c r="I12" s="1316"/>
      <c r="J12" s="1316"/>
      <c r="K12" s="1316"/>
      <c r="L12" s="1428"/>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75"/>
      <c r="AG15" s="2274" t="s">
        <v>65</v>
      </c>
      <c r="AH15" s="2275"/>
      <c r="AI15" s="2274" t="s">
        <v>65</v>
      </c>
      <c r="AQ15" s="1157">
        <v>0</v>
      </c>
    </row>
    <row customHeight="1" ht="14.25" hidden="1">
      <c r="AC16" s="1362"/>
      <c r="AD16" s="1362"/>
      <c r="AE16" s="330" t="str">
        <f>AF15&amp;"-"&amp;AH15</f>
        <v>-</v>
      </c>
      <c r="AF16" s="2274"/>
      <c r="AG16" s="2274"/>
      <c r="AH16" s="2274"/>
      <c r="AI16" s="2274"/>
      <c r="AQ16" s="1157">
        <v>0</v>
      </c>
    </row>
    <row customHeight="1" ht="14.25" hidden="1">
      <c r="AI17" s="329"/>
      <c r="AQ17" s="1157">
        <v>0</v>
      </c>
    </row>
    <row s="1368" customFormat="1" customHeight="1" ht="22.5" hidden="1">
      <c r="L18" s="1423"/>
      <c r="M18" s="1364"/>
      <c r="N18" s="1364"/>
      <c r="O18" s="1369" t="s">
        <v>412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413</v>
      </c>
      <c r="P20" s="1364"/>
      <c r="Q20" s="1444"/>
      <c r="R20" s="1444"/>
      <c r="S20" s="731"/>
      <c r="T20" s="1162" t="s">
        <v>414</v>
      </c>
      <c r="Z20" s="188" t="s">
        <v>415</v>
      </c>
      <c r="AB20" s="188" t="s">
        <v>416</v>
      </c>
      <c r="AC20" s="1162" t="s">
        <v>414</v>
      </c>
      <c r="AG20" s="188" t="s">
        <v>417</v>
      </c>
      <c r="AI20" s="188" t="s">
        <v>416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3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0"/>
      <c r="U24" s="2310"/>
      <c r="V24" s="2310"/>
      <c r="W24" s="2310"/>
      <c r="X24" s="2310"/>
      <c r="Y24" s="2310"/>
      <c r="Z24" s="2310"/>
      <c r="AA24" s="2310"/>
      <c r="AB24" s="2310"/>
      <c r="AC24" s="2310"/>
      <c r="AD24" s="2310"/>
      <c r="AE24" s="2310"/>
      <c r="AF24" s="2310"/>
      <c r="AG24" s="2310"/>
      <c r="AH24" s="2310"/>
      <c r="AI24" s="1245"/>
      <c r="AQ24" s="1157">
        <v>14</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328"/>
      <c r="AC27" s="2270" t="str">
        <f>IF(TITLE_NAME_OR_PR_CHANGE="",IF(TITLE_NAME_OR_PR="","",TITLE_NAME_OR_PR),TITLE_NAME_OR_PR_CHANGE)</f>
        <v/>
      </c>
      <c r="AD27" s="2270"/>
      <c r="AE27" s="2270"/>
      <c r="AF27" s="2270"/>
      <c r="AG27" s="2270"/>
      <c r="AH27" s="2270"/>
      <c r="AI27" s="328"/>
      <c r="AJ27" s="328"/>
      <c r="AK27" s="282"/>
      <c r="AL27" s="370"/>
      <c r="AM27" s="370"/>
      <c r="AN27" s="370"/>
      <c r="AO27" s="370"/>
      <c r="AP27" s="370"/>
      <c r="AQ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328"/>
      <c r="AC28" s="2269" t="str">
        <f>IF(TITLE_DATE_PR_CHANGE="",IF(TITLE_DATE_PR="","",TITLE_DATE_PR),TITLE_DATE_PR_CHANGE)</f>
        <v/>
      </c>
      <c r="AD28" s="2269"/>
      <c r="AE28" s="2269"/>
      <c r="AF28" s="2269"/>
      <c r="AG28" s="2269"/>
      <c r="AH28" s="2269"/>
      <c r="AI28" s="328"/>
      <c r="AJ28" s="328"/>
      <c r="AK28" s="282"/>
      <c r="AL28" s="370"/>
      <c r="AM28" s="370"/>
      <c r="AN28" s="370"/>
      <c r="AO28" s="370"/>
      <c r="AP28" s="370"/>
      <c r="AQ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328"/>
      <c r="AC29" s="2270" t="str">
        <f>IF(TITLE_NUMBER_PR_CHANGE="",IF(TITLE_NUMBER_PR="","",TITLE_NUMBER_PR),TITLE_NUMBER_PR_CHANGE)</f>
        <v/>
      </c>
      <c r="AD29" s="2270"/>
      <c r="AE29" s="2270"/>
      <c r="AF29" s="2270"/>
      <c r="AG29" s="2270"/>
      <c r="AH29" s="2270"/>
      <c r="AI29" s="328"/>
      <c r="AJ29" s="328"/>
      <c r="AK29" s="282"/>
      <c r="AL29" s="370"/>
      <c r="AM29" s="370"/>
      <c r="AN29" s="370"/>
      <c r="AO29" s="370"/>
      <c r="AP29" s="370"/>
      <c r="AQ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328"/>
      <c r="AC30" s="2270" t="str">
        <f>IF(TITLE_IST_PUB_CHANGE="",IF(TITLE_IST_PUB="","",TITLE_IST_PUB),TITLE_IST_PUB_CHANGE)</f>
        <v/>
      </c>
      <c r="AD30" s="2270"/>
      <c r="AE30" s="2270"/>
      <c r="AF30" s="2270"/>
      <c r="AG30" s="2270"/>
      <c r="AH30" s="2270"/>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328"/>
      <c r="AC32" s="2269" t="str">
        <f>IF(TITLE_DATE_PR_CHANGE="",IF(TITLE_DATE_PR="","",TITLE_DATE_PR),TITLE_DATE_PR_CHANGE)</f>
        <v/>
      </c>
      <c r="AD32" s="2269"/>
      <c r="AE32" s="2269"/>
      <c r="AF32" s="2269"/>
      <c r="AG32" s="2269"/>
      <c r="AH32" s="2269"/>
      <c r="AI32" s="328"/>
      <c r="AJ32" s="328"/>
      <c r="AK32" s="282"/>
      <c r="AL32" s="370"/>
      <c r="AM32" s="370"/>
      <c r="AN32" s="370"/>
      <c r="AO32" s="370"/>
      <c r="AP32" s="370"/>
      <c r="AQ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328"/>
      <c r="AC33" s="2270" t="str">
        <f>IF(TITLE_NUMBER_PR_CHANGE="",IF(TITLE_NUMBER_PR="","",TITLE_NUMBER_PR),TITLE_NUMBER_PR_CHANGE)</f>
        <v/>
      </c>
      <c r="AD33" s="2270"/>
      <c r="AE33" s="2270"/>
      <c r="AF33" s="2270"/>
      <c r="AG33" s="2270"/>
      <c r="AH33" s="2270"/>
      <c r="AI33" s="328"/>
      <c r="AJ33" s="328"/>
      <c r="AK33" s="282"/>
      <c r="AL33" s="370"/>
      <c r="AM33" s="370"/>
      <c r="AN33" s="370"/>
      <c r="AO33" s="370"/>
      <c r="AP33" s="370"/>
      <c r="AQ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418</v>
      </c>
      <c r="AC34" s="328"/>
      <c r="AD34" s="328"/>
      <c r="AE34" s="328"/>
      <c r="AF34" s="328"/>
      <c r="AG34" s="328"/>
      <c r="AH34" s="328"/>
      <c r="AI34" s="280" t="s">
        <v>418</v>
      </c>
      <c r="AL34" s="370"/>
      <c r="AM34" s="370"/>
      <c r="AN34" s="370"/>
      <c r="AO34" s="370"/>
      <c r="AP34" s="370"/>
      <c r="AQ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Q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t="s">
        <v>296</v>
      </c>
      <c r="AQ36" s="1157">
        <v>14</v>
      </c>
    </row>
    <row customHeight="1" ht="14.699999999999998">
      <c r="Q37" s="378"/>
      <c r="R37" s="378"/>
      <c r="S37" s="2295" t="s">
        <v>88</v>
      </c>
      <c r="T37" s="2232" t="s">
        <v>419</v>
      </c>
      <c r="U37" s="303"/>
      <c r="V37" s="2296" t="s">
        <v>420</v>
      </c>
      <c r="W37" s="2297"/>
      <c r="X37" s="2297"/>
      <c r="Y37" s="2297"/>
      <c r="Z37" s="2297"/>
      <c r="AA37" s="2298"/>
      <c r="AB37" s="2299" t="s">
        <v>421</v>
      </c>
      <c r="AC37" s="2296" t="s">
        <v>420</v>
      </c>
      <c r="AD37" s="2297"/>
      <c r="AE37" s="2297"/>
      <c r="AF37" s="2297"/>
      <c r="AG37" s="2297"/>
      <c r="AH37" s="2298"/>
      <c r="AI37" s="2299" t="s">
        <v>422</v>
      </c>
      <c r="AJ37" s="2302" t="s">
        <v>423</v>
      </c>
      <c r="AK37" s="2140"/>
      <c r="AQ37" s="1157">
        <v>14</v>
      </c>
    </row>
    <row customHeight="1" ht="35.699999999999996">
      <c r="Q38" s="378"/>
      <c r="R38" s="378"/>
      <c r="S38" s="2295"/>
      <c r="T38" s="2232"/>
      <c r="U38" s="1033"/>
      <c r="V38" s="1354" t="s">
        <v>482</v>
      </c>
      <c r="W38" s="2288" t="s">
        <v>426</v>
      </c>
      <c r="X38" s="2290"/>
      <c r="Y38" s="2288" t="s">
        <v>427</v>
      </c>
      <c r="Z38" s="2289"/>
      <c r="AA38" s="2290"/>
      <c r="AB38" s="2300"/>
      <c r="AC38" s="1354" t="s">
        <v>482</v>
      </c>
      <c r="AD38" s="2288" t="s">
        <v>426</v>
      </c>
      <c r="AE38" s="2290"/>
      <c r="AF38" s="2288" t="s">
        <v>427</v>
      </c>
      <c r="AG38" s="2289"/>
      <c r="AH38" s="2290"/>
      <c r="AI38" s="2300"/>
      <c r="AJ38" s="2303"/>
      <c r="AK38" s="2140"/>
      <c r="AQ38" s="1157">
        <v>34</v>
      </c>
    </row>
    <row customHeight="1" ht="35.699999999999996">
      <c r="A39" s="1372"/>
      <c r="B39" s="1372" t="s">
        <v>132</v>
      </c>
      <c r="C39" s="1372" t="s">
        <v>133</v>
      </c>
      <c r="D39" s="1372" t="s">
        <v>134</v>
      </c>
      <c r="E39" s="1366" t="s">
        <v>428</v>
      </c>
      <c r="F39" s="1366" t="s">
        <v>429</v>
      </c>
      <c r="G39" s="1366" t="s">
        <v>430</v>
      </c>
      <c r="H39" s="1366"/>
      <c r="I39" s="1366" t="s">
        <v>483</v>
      </c>
      <c r="J39" s="1366" t="s">
        <v>433</v>
      </c>
      <c r="K39" s="1366" t="s">
        <v>484</v>
      </c>
      <c r="L39" s="1366" t="s">
        <v>413</v>
      </c>
      <c r="Q39" s="378"/>
      <c r="R39" s="378"/>
      <c r="S39" s="2295"/>
      <c r="T39" s="2232"/>
      <c r="U39" s="304"/>
      <c r="V39" s="1354" t="s">
        <v>485</v>
      </c>
      <c r="W39" s="1224" t="s">
        <v>486</v>
      </c>
      <c r="X39" s="1224" t="s">
        <v>487</v>
      </c>
      <c r="Y39" s="1359" t="s">
        <v>437</v>
      </c>
      <c r="Z39" s="2291" t="s">
        <v>438</v>
      </c>
      <c r="AA39" s="2292"/>
      <c r="AB39" s="2301"/>
      <c r="AC39" s="1354" t="s">
        <v>485</v>
      </c>
      <c r="AD39" s="1224" t="s">
        <v>486</v>
      </c>
      <c r="AE39" s="1224" t="s">
        <v>487</v>
      </c>
      <c r="AF39" s="1359" t="s">
        <v>437</v>
      </c>
      <c r="AG39" s="2291" t="s">
        <v>438</v>
      </c>
      <c r="AH39" s="2292"/>
      <c r="AI39" s="2301"/>
      <c r="AJ39" s="2304"/>
      <c r="AK39" s="2140"/>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106</v>
      </c>
      <c r="T40" s="1257" t="s">
        <v>107</v>
      </c>
      <c r="U40" s="1247" t="str">
        <f>OFFSET(U40,0,-1)</f>
        <v>2</v>
      </c>
      <c r="V40" s="1355">
        <f>OFFSET(V40,0,-1)+1</f>
        <v>3</v>
      </c>
      <c r="W40" s="1355">
        <f>OFFSET(W40,0,-1)+1</f>
        <v>4</v>
      </c>
      <c r="X40" s="1355">
        <f>OFFSET(X40,0,-1)+1</f>
        <v>5</v>
      </c>
      <c r="Y40" s="1355">
        <f>OFFSET(Y40,0,-1)+1</f>
        <v>6</v>
      </c>
      <c r="Z40" s="2293">
        <f>OFFSET(Z40,0,-1)+1</f>
        <v>7</v>
      </c>
      <c r="AA40" s="2293"/>
      <c r="AB40" s="1355">
        <f>OFFSET(AB40,0,-2)+1</f>
        <v>8</v>
      </c>
      <c r="AC40" s="1355">
        <f>OFFSET(AC40,0,-1)+1</f>
        <v>9</v>
      </c>
      <c r="AD40" s="1355">
        <f>OFFSET(AD40,0,-1)+1</f>
        <v>10</v>
      </c>
      <c r="AE40" s="1355">
        <f>OFFSET(AE40,0,-1)+1</f>
        <v>11</v>
      </c>
      <c r="AF40" s="1355">
        <f>OFFSET(AF40,0,-1)+1</f>
        <v>12</v>
      </c>
      <c r="AG40" s="2293">
        <f>OFFSET(AG40,0,-1)+1</f>
        <v>13</v>
      </c>
      <c r="AH40" s="2293"/>
      <c r="AI40" s="1355">
        <f>OFFSET(AI40,0,-2)+1</f>
        <v>14</v>
      </c>
      <c r="AJ40" s="1247">
        <f>OFFSET(AJ40,0,-1)</f>
        <v>14</v>
      </c>
      <c r="AK40" s="1355">
        <f>OFFSET(AK40,0,-1)+1</f>
        <v>15</v>
      </c>
      <c r="AL40" s="513"/>
      <c r="AM40" s="513"/>
      <c r="AN40" s="513"/>
      <c r="AO40" s="513"/>
      <c r="AP40" s="513"/>
      <c r="AQ40" s="498">
        <v>0</v>
      </c>
    </row>
    <row customHeight="1" ht="24">
      <c r="A41" s="1365" t="s">
        <v>221</v>
      </c>
      <c r="B41" s="1365"/>
      <c r="C41" s="1365"/>
      <c r="D41" s="1365"/>
      <c r="E41" s="2277">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120</v>
      </c>
      <c r="U41" s="302"/>
      <c r="V41" s="2271"/>
      <c r="W41" s="2272"/>
      <c r="X41" s="2272"/>
      <c r="Y41" s="2272"/>
      <c r="Z41" s="2272"/>
      <c r="AA41" s="2272"/>
      <c r="AB41" s="2273"/>
      <c r="AC41" s="2271" t="str">
        <f>INDEX(PT_DIFFERENTIATION_NTAR,MATCH(A41,PT_DIFFERENTIATION_NTAR_ID,0))</f>
        <v/>
      </c>
      <c r="AD41" s="2272"/>
      <c r="AE41" s="2272"/>
      <c r="AF41" s="2272"/>
      <c r="AG41" s="2272"/>
      <c r="AH41" s="2272"/>
      <c r="AI41" s="2272"/>
      <c r="AJ41" s="2273"/>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221</v>
      </c>
      <c r="B42" s="1365" t="s">
        <v>222</v>
      </c>
      <c r="C42" s="1365"/>
      <c r="D42" s="1365"/>
      <c r="E42" s="2278"/>
      <c r="F42" s="2277">
        <v>1</v>
      </c>
      <c r="G42" s="1365"/>
      <c r="H42" s="1365"/>
      <c r="I42" s="1365"/>
      <c r="J42" s="1365"/>
      <c r="K42" s="1365"/>
      <c r="L42" s="1366"/>
      <c r="M42" s="1367"/>
      <c r="N42" s="1367"/>
      <c r="O42" s="1367"/>
      <c r="P42" s="1358"/>
      <c r="Q42" s="354"/>
      <c r="R42" s="355"/>
      <c r="S42" s="1360" t="str">
        <f>INDEX(PT_DIFFERENTIATION_NUM_TER,MATCH(B42,PT_DIFFERENTIATION_TER_ID,0))</f>
        <v>.</v>
      </c>
      <c r="T42" s="310" t="s">
        <v>392</v>
      </c>
      <c r="U42" s="302"/>
      <c r="V42" s="2271"/>
      <c r="W42" s="2272"/>
      <c r="X42" s="2272"/>
      <c r="Y42" s="2272"/>
      <c r="Z42" s="2272"/>
      <c r="AA42" s="2272"/>
      <c r="AB42" s="2273"/>
      <c r="AC42" s="2271" t="str">
        <f>INDEX(PT_DIFFERENTIATION_TER,MATCH(B42,PT_DIFFERENTIATION_TER_ID,0))</f>
        <v/>
      </c>
      <c r="AD42" s="2272"/>
      <c r="AE42" s="2272"/>
      <c r="AF42" s="2272"/>
      <c r="AG42" s="2272"/>
      <c r="AH42" s="2272"/>
      <c r="AI42" s="2272"/>
      <c r="AJ42" s="2273"/>
      <c r="AK42" s="1260" t="s">
        <v>393</v>
      </c>
      <c r="AM42" s="502"/>
      <c r="AN42" s="502" t="str">
        <f>IF(T42="","",T42)</f>
        <v>Территория действия тарифа</v>
      </c>
      <c r="AO42" s="502"/>
      <c r="AP42" s="502"/>
      <c r="AQ42" s="1157">
        <v>23</v>
      </c>
    </row>
    <row customHeight="1" ht="24">
      <c r="A43" s="1365" t="s">
        <v>221</v>
      </c>
      <c r="B43" s="1365" t="s">
        <v>222</v>
      </c>
      <c r="C43" s="1365" t="s">
        <v>223</v>
      </c>
      <c r="D43" s="1365"/>
      <c r="E43" s="2278"/>
      <c r="F43" s="2278"/>
      <c r="G43" s="2277">
        <v>1</v>
      </c>
      <c r="H43" s="1365"/>
      <c r="I43" s="1365"/>
      <c r="J43" s="1365"/>
      <c r="K43" s="1365"/>
      <c r="L43" s="1366"/>
      <c r="M43" s="1367"/>
      <c r="N43" s="1367"/>
      <c r="O43" s="1367"/>
      <c r="P43" s="356"/>
      <c r="Q43" s="354"/>
      <c r="R43" s="355"/>
      <c r="S43" s="1360" t="str">
        <f>INDEX(PT_DIFFERENTIATION_NUM_CS,MATCH(C43,PT_DIFFERENTIATION_CS_ID,0))</f>
        <v>..</v>
      </c>
      <c r="T43" s="311" t="s">
        <v>474</v>
      </c>
      <c r="U43" s="302"/>
      <c r="V43" s="2271"/>
      <c r="W43" s="2272"/>
      <c r="X43" s="2272"/>
      <c r="Y43" s="2272"/>
      <c r="Z43" s="2272"/>
      <c r="AA43" s="2272"/>
      <c r="AB43" s="2273"/>
      <c r="AC43" s="2271" t="str">
        <f>INDEX(PT_DIFFERENTIATION_CS,MATCH(C43,PT_DIFFERENTIATION_CS_ID,0))</f>
        <v/>
      </c>
      <c r="AD43" s="2272"/>
      <c r="AE43" s="2272"/>
      <c r="AF43" s="2272"/>
      <c r="AG43" s="2272"/>
      <c r="AH43" s="2272"/>
      <c r="AI43" s="2272"/>
      <c r="AJ43" s="2273"/>
      <c r="AK43" s="1260" t="s">
        <v>475</v>
      </c>
      <c r="AM43" s="502"/>
      <c r="AN43" s="502" t="str">
        <f>IF(T43="","",T43)</f>
        <v>Наименование централизованной системы холодного водоснабжения</v>
      </c>
      <c r="AO43" s="502"/>
      <c r="AP43" s="502"/>
      <c r="AQ43" s="1157">
        <v>23</v>
      </c>
    </row>
    <row customHeight="1" ht="24">
      <c r="A44" s="1365" t="s">
        <v>221</v>
      </c>
      <c r="B44" s="1365" t="s">
        <v>222</v>
      </c>
      <c r="C44" s="1365" t="s">
        <v>223</v>
      </c>
      <c r="D44" s="1365" t="s">
        <v>488</v>
      </c>
      <c r="E44" s="2278"/>
      <c r="F44" s="2278"/>
      <c r="G44" s="2278"/>
      <c r="H44" s="2278"/>
      <c r="I44" s="2279" t="str">
        <f>S43&amp;".1"</f>
        <v>...1</v>
      </c>
      <c r="J44" s="1365"/>
      <c r="K44" s="1365"/>
      <c r="L44" s="1366"/>
      <c r="P44" s="2281">
        <v>1</v>
      </c>
      <c r="Q44" s="1356"/>
      <c r="R44" s="358"/>
      <c r="S44" s="1360" t="str">
        <f>$I44</f>
        <v>...1</v>
      </c>
      <c r="T44" s="287" t="s">
        <v>476</v>
      </c>
      <c r="U44" s="302"/>
      <c r="V44" s="2375"/>
      <c r="W44" s="2376"/>
      <c r="X44" s="2376"/>
      <c r="Y44" s="2376"/>
      <c r="Z44" s="2376"/>
      <c r="AA44" s="2376"/>
      <c r="AB44" s="2377"/>
      <c r="AC44" s="2378"/>
      <c r="AD44" s="2379"/>
      <c r="AE44" s="2379"/>
      <c r="AF44" s="2379"/>
      <c r="AG44" s="2379"/>
      <c r="AH44" s="2379"/>
      <c r="AI44" s="2379"/>
      <c r="AJ44" s="2380"/>
      <c r="AK44" s="1260" t="s">
        <v>477</v>
      </c>
      <c r="AM44" s="502"/>
      <c r="AN44" s="502" t="str">
        <f>IF(T44="","",T44)</f>
        <v>Наименование признака дифференциации</v>
      </c>
      <c r="AO44" s="502"/>
      <c r="AP44" s="502"/>
      <c r="AQ44" s="1157">
        <v>23</v>
      </c>
    </row>
    <row customHeight="1" ht="24">
      <c r="A45" s="1365" t="s">
        <v>221</v>
      </c>
      <c r="B45" s="1365" t="s">
        <v>222</v>
      </c>
      <c r="C45" s="1365" t="s">
        <v>223</v>
      </c>
      <c r="D45" s="1365" t="s">
        <v>488</v>
      </c>
      <c r="E45" s="2278"/>
      <c r="F45" s="2278"/>
      <c r="G45" s="2278"/>
      <c r="H45" s="2278"/>
      <c r="I45" s="2280"/>
      <c r="J45" s="2279" t="str">
        <f>I44&amp;".1"</f>
        <v>...1.1</v>
      </c>
      <c r="K45" s="1365"/>
      <c r="L45" s="1366" t="s">
        <v>401</v>
      </c>
      <c r="P45" s="2281"/>
      <c r="Q45" s="2281">
        <v>1</v>
      </c>
      <c r="R45" s="359"/>
      <c r="S45" s="1360" t="str">
        <f>$J45</f>
        <v>...1.1</v>
      </c>
      <c r="T45" s="288" t="s">
        <v>402</v>
      </c>
      <c r="U45" s="302"/>
      <c r="V45" s="2265"/>
      <c r="W45" s="2266"/>
      <c r="X45" s="2266"/>
      <c r="Y45" s="2266"/>
      <c r="Z45" s="2266"/>
      <c r="AA45" s="2266"/>
      <c r="AB45" s="2267"/>
      <c r="AC45" s="2265"/>
      <c r="AD45" s="2266"/>
      <c r="AE45" s="2266"/>
      <c r="AF45" s="2266"/>
      <c r="AG45" s="2266"/>
      <c r="AH45" s="2266"/>
      <c r="AI45" s="2266"/>
      <c r="AJ45" s="2267"/>
      <c r="AK45" s="1309" t="s">
        <v>478</v>
      </c>
      <c r="AM45" s="502"/>
      <c r="AN45" s="502" t="str">
        <f>IF(T45="","",T45)</f>
        <v>Группа потребителей</v>
      </c>
      <c r="AO45" s="502"/>
      <c r="AP45" s="502"/>
      <c r="AQ45" s="1157">
        <v>23</v>
      </c>
    </row>
    <row customHeight="1" ht="24">
      <c r="A46" s="1365" t="s">
        <v>221</v>
      </c>
      <c r="B46" s="1365" t="s">
        <v>222</v>
      </c>
      <c r="C46" s="1365" t="s">
        <v>223</v>
      </c>
      <c r="D46" s="1365" t="s">
        <v>488</v>
      </c>
      <c r="E46" s="2278"/>
      <c r="F46" s="2278"/>
      <c r="G46" s="2278"/>
      <c r="H46" s="2278"/>
      <c r="I46" s="2280"/>
      <c r="J46" s="2280"/>
      <c r="K46" s="2279" t="str">
        <f>J45&amp;".1"</f>
        <v>...1.1.1</v>
      </c>
      <c r="L46" s="1366"/>
      <c r="P46" s="2281"/>
      <c r="Q46" s="2281"/>
      <c r="R46" s="359">
        <v>1</v>
      </c>
      <c r="S46" s="1360" t="str">
        <f>$K46</f>
        <v>...1.1.1</v>
      </c>
      <c r="T46" s="1439"/>
      <c r="U46" s="302"/>
      <c r="V46" s="1362"/>
      <c r="W46" s="1362"/>
      <c r="X46" s="1363"/>
      <c r="Y46" s="2275"/>
      <c r="Z46" s="2274" t="s">
        <v>65</v>
      </c>
      <c r="AA46" s="2275"/>
      <c r="AB46" s="2274" t="s">
        <v>65</v>
      </c>
      <c r="AC46" s="753"/>
      <c r="AD46" s="753"/>
      <c r="AE46" s="1259"/>
      <c r="AF46" s="2282"/>
      <c r="AG46" s="2150" t="s">
        <v>65</v>
      </c>
      <c r="AH46" s="2284"/>
      <c r="AI46" s="2150" t="s">
        <v>19</v>
      </c>
      <c r="AJ46" s="1440"/>
      <c r="AK46"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221</v>
      </c>
      <c r="B47" s="1365" t="s">
        <v>222</v>
      </c>
      <c r="C47" s="1365" t="s">
        <v>223</v>
      </c>
      <c r="D47" s="1365" t="s">
        <v>488</v>
      </c>
      <c r="E47" s="2278"/>
      <c r="F47" s="2278"/>
      <c r="G47" s="2278"/>
      <c r="H47" s="2278"/>
      <c r="I47" s="2280"/>
      <c r="J47" s="2280"/>
      <c r="K47" s="2279"/>
      <c r="L47" s="1366"/>
      <c r="P47" s="2281"/>
      <c r="Q47" s="2281"/>
      <c r="R47" s="359"/>
      <c r="S47" s="1361"/>
      <c r="T47" s="302"/>
      <c r="U47" s="302"/>
      <c r="V47" s="1362"/>
      <c r="W47" s="1362"/>
      <c r="X47" s="330" t="str">
        <f>Y46&amp;"-"&amp;AA46</f>
        <v>-</v>
      </c>
      <c r="Y47" s="2274"/>
      <c r="Z47" s="2274"/>
      <c r="AA47" s="2274"/>
      <c r="AB47" s="2274"/>
      <c r="AC47" s="327"/>
      <c r="AD47" s="327"/>
      <c r="AE47" s="330" t="str">
        <f>AF46&amp;"-"&amp;AH46</f>
        <v>-</v>
      </c>
      <c r="AF47" s="2283"/>
      <c r="AG47" s="2150"/>
      <c r="AH47" s="2285"/>
      <c r="AI47" s="2150"/>
      <c r="AJ47" s="1441"/>
      <c r="AK47" s="2381"/>
      <c r="AM47" s="502"/>
      <c r="AN47" s="502" t="str">
        <f>IF(T47="","",T47)</f>
        <v/>
      </c>
      <c r="AO47" s="502"/>
      <c r="AP47" s="502"/>
      <c r="AQ47" s="1157">
        <v>0</v>
      </c>
    </row>
    <row customHeight="1" ht="21">
      <c r="A48" s="1365" t="s">
        <v>221</v>
      </c>
      <c r="B48" s="1365" t="s">
        <v>222</v>
      </c>
      <c r="C48" s="1365" t="s">
        <v>223</v>
      </c>
      <c r="D48" s="1365" t="s">
        <v>488</v>
      </c>
      <c r="E48" s="2278"/>
      <c r="F48" s="2278"/>
      <c r="G48" s="2278"/>
      <c r="H48" s="2278"/>
      <c r="I48" s="2280"/>
      <c r="J48" s="2279"/>
      <c r="K48" s="1365"/>
      <c r="L48" s="1366"/>
      <c r="P48" s="2281"/>
      <c r="Q48" s="2281"/>
      <c r="R48" s="358"/>
      <c r="S48" s="1280"/>
      <c r="T48" s="289" t="s">
        <v>479</v>
      </c>
      <c r="U48" s="369"/>
      <c r="V48" s="369"/>
      <c r="W48" s="369"/>
      <c r="X48" s="369"/>
      <c r="Y48" s="369"/>
      <c r="Z48" s="369"/>
      <c r="AA48" s="369"/>
      <c r="AB48" s="369"/>
      <c r="AC48" s="369"/>
      <c r="AD48" s="369"/>
      <c r="AE48" s="369"/>
      <c r="AF48" s="369"/>
      <c r="AG48" s="369"/>
      <c r="AH48" s="369"/>
      <c r="AI48" s="369"/>
      <c r="AJ48" s="369"/>
      <c r="AK48" s="1260" t="s">
        <v>480</v>
      </c>
      <c r="AM48" s="502"/>
      <c r="AN48" s="502" t="str">
        <f>IF(T48="","",T48)</f>
        <v>Добавить значение признака дифференциации</v>
      </c>
      <c r="AO48" s="502"/>
      <c r="AP48" s="502"/>
      <c r="AQ48" s="1157">
        <v>20</v>
      </c>
    </row>
    <row customHeight="1" ht="22.049999999999997">
      <c r="A49" s="1365" t="s">
        <v>221</v>
      </c>
      <c r="B49" s="1365" t="s">
        <v>222</v>
      </c>
      <c r="C49" s="1365" t="s">
        <v>223</v>
      </c>
      <c r="D49" s="1365" t="s">
        <v>488</v>
      </c>
      <c r="E49" s="2278"/>
      <c r="F49" s="2278"/>
      <c r="G49" s="2278"/>
      <c r="H49" s="2278"/>
      <c r="I49" s="2279"/>
      <c r="J49" s="1365"/>
      <c r="K49" s="1365"/>
      <c r="L49" s="1366"/>
      <c r="P49" s="2281"/>
      <c r="Q49" s="1356"/>
      <c r="R49" s="358"/>
      <c r="S49" s="1280"/>
      <c r="T49" s="367" t="s">
        <v>407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221</v>
      </c>
      <c r="B50" s="1365" t="s">
        <v>222</v>
      </c>
      <c r="C50" s="1365" t="s">
        <v>223</v>
      </c>
      <c r="D50" s="1365" t="s">
        <v>488</v>
      </c>
      <c r="E50" s="2278"/>
      <c r="F50" s="2278"/>
      <c r="G50" s="2278"/>
      <c r="H50" s="2277"/>
      <c r="I50" s="1365"/>
      <c r="J50" s="1365"/>
      <c r="K50" s="1365"/>
      <c r="L50" s="1366"/>
      <c r="M50" s="1367"/>
      <c r="N50" s="1367"/>
      <c r="O50" s="539"/>
      <c r="P50" s="362"/>
      <c r="Q50" s="377"/>
      <c r="R50" s="357"/>
      <c r="S50" s="1280"/>
      <c r="T50" s="374" t="s">
        <v>481</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221</v>
      </c>
      <c r="B51" s="1345" t="s">
        <v>222</v>
      </c>
      <c r="C51" s="1316"/>
      <c r="D51" s="1316"/>
      <c r="E51" s="2278"/>
      <c r="F51" s="2277"/>
      <c r="G51" s="1316"/>
      <c r="H51" s="1316"/>
      <c r="I51" s="1316"/>
      <c r="J51" s="1316"/>
      <c r="K51" s="1316"/>
      <c r="L51" s="1428"/>
      <c r="M51" s="1323"/>
      <c r="N51" s="1323"/>
      <c r="P51" s="1318"/>
      <c r="Q51" s="1319"/>
      <c r="R51" s="1318"/>
      <c r="S51" s="1324"/>
      <c r="T51" s="1327" t="s">
        <v>410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221</v>
      </c>
      <c r="B52" s="1345"/>
      <c r="C52" s="1345"/>
      <c r="D52" s="1345"/>
      <c r="E52" s="2277"/>
      <c r="F52" s="1345"/>
      <c r="G52" s="1345"/>
      <c r="H52" s="1345"/>
      <c r="I52" s="1345"/>
      <c r="J52" s="1345"/>
      <c r="K52" s="1345"/>
      <c r="L52" s="1348"/>
      <c r="M52" s="1323"/>
      <c r="N52" s="1323"/>
      <c r="O52" s="520"/>
      <c r="P52" s="382"/>
      <c r="Q52" s="1346"/>
      <c r="R52" s="382"/>
      <c r="S52" s="1324"/>
      <c r="T52" s="1327" t="s">
        <v>411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439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76"/>
      <c r="U55" s="2276"/>
      <c r="V55" s="2276"/>
      <c r="W55" s="2276"/>
      <c r="X55" s="2276"/>
      <c r="Y55" s="2276"/>
      <c r="Z55" s="2276"/>
      <c r="AA55" s="2276"/>
      <c r="AB55" s="2276"/>
      <c r="AC55" s="2276"/>
      <c r="AD55" s="2276"/>
      <c r="AE55" s="2276"/>
      <c r="AF55" s="2276"/>
      <c r="AG55" s="2276"/>
      <c r="AH55" s="2276"/>
      <c r="AI55" s="2276"/>
      <c r="AJ55" s="2276"/>
      <c r="AK55" s="2276"/>
      <c r="AQ55" s="1157">
        <v>14</v>
      </c>
    </row>
    <row customHeight="1" ht="14.699999999999998">
      <c r="O56" s="539"/>
      <c r="AQ56" s="1157">
        <v>14</v>
      </c>
    </row>
    <row customHeight="1" ht="14.699999999999998">
      <c r="O57" s="539"/>
      <c r="S57" s="1255"/>
      <c r="T57" s="2276"/>
      <c r="U57" s="2276"/>
      <c r="V57" s="2276"/>
      <c r="W57" s="2276"/>
      <c r="X57" s="2276"/>
      <c r="Y57" s="2276"/>
      <c r="Z57" s="2276"/>
      <c r="AA57" s="2276"/>
      <c r="AB57" s="2276"/>
      <c r="AC57" s="2276"/>
      <c r="AD57" s="2276"/>
      <c r="AE57" s="2276"/>
      <c r="AF57" s="2276"/>
      <c r="AG57" s="2276"/>
      <c r="AH57" s="2276"/>
      <c r="AI57" s="2276"/>
      <c r="AJ57" s="2276"/>
      <c r="AK57" s="2276"/>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607B8-9C16-1458-4978-D455CE2E3F2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59">
        <f>INDEX(PT_DIFFERENTIATION_NUM_NTAR,MATCH(A2,PT_DIFFERENTIATION_NTAR_ID,0))</f>
      </c>
      <c r="T2" s="300" t="s">
        <v>120</v>
      </c>
      <c r="U2" s="302"/>
      <c r="V2" s="2271"/>
      <c r="W2" s="2272"/>
      <c r="X2" s="2272"/>
      <c r="Y2" s="2272"/>
      <c r="Z2" s="2272"/>
      <c r="AA2" s="2272"/>
      <c r="AB2" s="2273"/>
      <c r="AC2" s="2271">
        <f>INDEX(PT_DIFFERENTIATION_NTAR,MATCH(A2,PT_DIFFERENTIATION_NTAR_ID,0))</f>
      </c>
      <c r="AD2" s="2272"/>
      <c r="AE2" s="2272"/>
      <c r="AF2" s="2272"/>
      <c r="AG2" s="2272"/>
      <c r="AH2" s="2272"/>
      <c r="AI2" s="2272"/>
      <c r="AJ2" s="2273"/>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78"/>
      <c r="F3" s="2277">
        <v>1</v>
      </c>
      <c r="G3" s="1365"/>
      <c r="H3" s="1365"/>
      <c r="I3" s="1365"/>
      <c r="J3" s="1365"/>
      <c r="K3" s="1365"/>
      <c r="L3" s="1366"/>
      <c r="M3" s="1367"/>
      <c r="N3" s="1367"/>
      <c r="O3" s="1367"/>
      <c r="P3" s="1455"/>
      <c r="Q3" s="354"/>
      <c r="R3" s="355"/>
      <c r="S3" s="1459">
        <f>INDEX(PT_DIFFERENTIATION_NUM_TER,MATCH(B3,PT_DIFFERENTIATION_TER_ID,0))</f>
      </c>
      <c r="T3" s="310" t="s">
        <v>392</v>
      </c>
      <c r="U3" s="302"/>
      <c r="V3" s="2271"/>
      <c r="W3" s="2272"/>
      <c r="X3" s="2272"/>
      <c r="Y3" s="2272"/>
      <c r="Z3" s="2272"/>
      <c r="AA3" s="2272"/>
      <c r="AB3" s="2273"/>
      <c r="AC3" s="2271">
        <f>INDEX(PT_DIFFERENTIATION_TER,MATCH(B3,PT_DIFFERENTIATION_TER_ID,0))</f>
      </c>
      <c r="AD3" s="2272"/>
      <c r="AE3" s="2272"/>
      <c r="AF3" s="2272"/>
      <c r="AG3" s="2272"/>
      <c r="AH3" s="2272"/>
      <c r="AI3" s="2272"/>
      <c r="AJ3" s="2273"/>
      <c r="AK3" s="1260" t="s">
        <v>393</v>
      </c>
      <c r="AM3" s="502"/>
      <c r="AN3" s="502" t="str">
        <f>IF(T3="","",T3)</f>
        <v>Территория действия тарифа</v>
      </c>
      <c r="AO3" s="502"/>
      <c r="AP3" s="502"/>
      <c r="AQ3" s="1157">
        <v>0</v>
      </c>
    </row>
    <row customHeight="1" ht="23.25" hidden="1">
      <c r="A4" s="1365"/>
      <c r="B4" s="1365"/>
      <c r="C4" s="1365"/>
      <c r="D4" s="1365"/>
      <c r="E4" s="2278"/>
      <c r="F4" s="2278"/>
      <c r="G4" s="2277">
        <v>1</v>
      </c>
      <c r="H4" s="1365"/>
      <c r="I4" s="1365"/>
      <c r="J4" s="1365"/>
      <c r="K4" s="1365"/>
      <c r="L4" s="1366"/>
      <c r="M4" s="1367"/>
      <c r="N4" s="1367"/>
      <c r="O4" s="1367"/>
      <c r="P4" s="356"/>
      <c r="Q4" s="354"/>
      <c r="R4" s="355"/>
      <c r="S4" s="1459">
        <f>INDEX(PT_DIFFERENTIATION_NUM_CS,MATCH(C4,PT_DIFFERENTIATION_CS_ID,0))</f>
      </c>
      <c r="T4" s="311" t="s">
        <v>474</v>
      </c>
      <c r="U4" s="302"/>
      <c r="V4" s="2271"/>
      <c r="W4" s="2272"/>
      <c r="X4" s="2272"/>
      <c r="Y4" s="2272"/>
      <c r="Z4" s="2272"/>
      <c r="AA4" s="2272"/>
      <c r="AB4" s="2273"/>
      <c r="AC4" s="2271">
        <f>INDEX(PT_DIFFERENTIATION_CS,MATCH(C4,PT_DIFFERENTIATION_CS_ID,0))</f>
      </c>
      <c r="AD4" s="2272"/>
      <c r="AE4" s="2272"/>
      <c r="AF4" s="2272"/>
      <c r="AG4" s="2272"/>
      <c r="AH4" s="2272"/>
      <c r="AI4" s="2272"/>
      <c r="AJ4" s="2273"/>
      <c r="AK4" s="1260" t="s">
        <v>475</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78"/>
      <c r="F5" s="2278"/>
      <c r="G5" s="2278"/>
      <c r="H5" s="2278"/>
      <c r="I5" s="2279">
        <f>S4&amp;".1"</f>
      </c>
      <c r="J5" s="1365"/>
      <c r="K5" s="1365"/>
      <c r="L5" s="1366"/>
      <c r="P5" s="2281">
        <v>1</v>
      </c>
      <c r="Q5" s="1452"/>
      <c r="R5" s="358"/>
      <c r="S5" s="1459">
        <f>$I5</f>
      </c>
      <c r="T5" s="287" t="s">
        <v>476</v>
      </c>
      <c r="U5" s="302"/>
      <c r="V5" s="2375"/>
      <c r="W5" s="2376"/>
      <c r="X5" s="2376"/>
      <c r="Y5" s="2376"/>
      <c r="Z5" s="2376"/>
      <c r="AA5" s="2376"/>
      <c r="AB5" s="2377"/>
      <c r="AC5" s="2378"/>
      <c r="AD5" s="2379"/>
      <c r="AE5" s="2379"/>
      <c r="AF5" s="2379"/>
      <c r="AG5" s="2379"/>
      <c r="AH5" s="2379"/>
      <c r="AI5" s="2379"/>
      <c r="AJ5" s="2380"/>
      <c r="AK5" s="1260" t="s">
        <v>477</v>
      </c>
      <c r="AM5" s="502"/>
      <c r="AN5" s="502" t="str">
        <f>IF(T5="","",T5)</f>
        <v>Наименование признака дифференциации</v>
      </c>
      <c r="AO5" s="502"/>
      <c r="AP5" s="502"/>
      <c r="AQ5" s="1157">
        <v>0</v>
      </c>
    </row>
    <row customHeight="1" ht="23.25" hidden="1">
      <c r="A6" s="1365"/>
      <c r="B6" s="1365"/>
      <c r="C6" s="1365"/>
      <c r="D6" s="1365"/>
      <c r="E6" s="2278"/>
      <c r="F6" s="2278"/>
      <c r="G6" s="2278"/>
      <c r="H6" s="2278"/>
      <c r="I6" s="2280"/>
      <c r="J6" s="2279">
        <f>I5&amp;".1"</f>
      </c>
      <c r="K6" s="1365"/>
      <c r="L6" s="1366" t="s">
        <v>401</v>
      </c>
      <c r="P6" s="2281"/>
      <c r="Q6" s="2281">
        <v>1</v>
      </c>
      <c r="R6" s="359"/>
      <c r="S6" s="1459">
        <f>$J6</f>
      </c>
      <c r="T6" s="288" t="s">
        <v>402</v>
      </c>
      <c r="U6" s="302"/>
      <c r="V6" s="2265"/>
      <c r="W6" s="2266"/>
      <c r="X6" s="2266"/>
      <c r="Y6" s="2266"/>
      <c r="Z6" s="2266"/>
      <c r="AA6" s="2266"/>
      <c r="AB6" s="2267"/>
      <c r="AC6" s="2265"/>
      <c r="AD6" s="2266"/>
      <c r="AE6" s="2266"/>
      <c r="AF6" s="2266"/>
      <c r="AG6" s="2266"/>
      <c r="AH6" s="2266"/>
      <c r="AI6" s="2266"/>
      <c r="AJ6" s="2267"/>
      <c r="AK6" s="1309" t="s">
        <v>478</v>
      </c>
      <c r="AM6" s="502"/>
      <c r="AN6" s="502" t="str">
        <f>IF(T6="","",T6)</f>
        <v>Группа потребителей</v>
      </c>
      <c r="AO6" s="502"/>
      <c r="AP6" s="502"/>
      <c r="AQ6" s="1157">
        <v>0</v>
      </c>
    </row>
    <row customHeight="1" ht="23.25" hidden="1">
      <c r="A7" s="1365"/>
      <c r="B7" s="1365"/>
      <c r="C7" s="1365"/>
      <c r="D7" s="1365"/>
      <c r="E7" s="2278"/>
      <c r="F7" s="2278"/>
      <c r="G7" s="2278"/>
      <c r="H7" s="2278"/>
      <c r="I7" s="2280"/>
      <c r="J7" s="2280"/>
      <c r="K7" s="2279">
        <f>J6&amp;".1"</f>
      </c>
      <c r="L7" s="1366"/>
      <c r="P7" s="2281"/>
      <c r="Q7" s="2281"/>
      <c r="R7" s="359">
        <v>1</v>
      </c>
      <c r="S7" s="1459">
        <f>$K7</f>
      </c>
      <c r="T7" s="1439"/>
      <c r="U7" s="302"/>
      <c r="V7" s="753"/>
      <c r="W7" s="753"/>
      <c r="X7" s="1259"/>
      <c r="Y7" s="2282"/>
      <c r="Z7" s="2150" t="s">
        <v>65</v>
      </c>
      <c r="AA7" s="2282"/>
      <c r="AB7" s="2150" t="s">
        <v>65</v>
      </c>
      <c r="AC7" s="753"/>
      <c r="AD7" s="753"/>
      <c r="AE7" s="1259"/>
      <c r="AF7" s="2282"/>
      <c r="AG7" s="2150" t="s">
        <v>65</v>
      </c>
      <c r="AH7" s="2284"/>
      <c r="AI7" s="2150" t="s">
        <v>65</v>
      </c>
      <c r="AJ7" s="1440"/>
      <c r="AK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78"/>
      <c r="F8" s="2278"/>
      <c r="G8" s="2278"/>
      <c r="H8" s="2278"/>
      <c r="I8" s="2280"/>
      <c r="J8" s="2280"/>
      <c r="K8" s="2279"/>
      <c r="L8" s="1366"/>
      <c r="P8" s="2281"/>
      <c r="Q8" s="2281"/>
      <c r="R8" s="359"/>
      <c r="S8" s="1458"/>
      <c r="T8" s="302"/>
      <c r="U8" s="302"/>
      <c r="V8" s="327"/>
      <c r="W8" s="327"/>
      <c r="X8" s="330" t="str">
        <f>Y7&amp;"-"&amp;AA7</f>
        <v>-</v>
      </c>
      <c r="Y8" s="2283"/>
      <c r="Z8" s="2150"/>
      <c r="AA8" s="2283"/>
      <c r="AB8" s="2150"/>
      <c r="AC8" s="327"/>
      <c r="AD8" s="327"/>
      <c r="AE8" s="330" t="str">
        <f>AF7&amp;"-"&amp;AH7</f>
        <v>-</v>
      </c>
      <c r="AF8" s="2283"/>
      <c r="AG8" s="2150"/>
      <c r="AH8" s="2285"/>
      <c r="AI8" s="2150"/>
      <c r="AJ8" s="1441"/>
      <c r="AK8" s="2381"/>
      <c r="AM8" s="502"/>
      <c r="AN8" s="502" t="str">
        <f>IF(T8="","",T8)</f>
        <v/>
      </c>
      <c r="AO8" s="502"/>
      <c r="AP8" s="502"/>
      <c r="AQ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369"/>
      <c r="X9" s="369"/>
      <c r="Y9" s="369"/>
      <c r="Z9" s="369"/>
      <c r="AA9" s="369"/>
      <c r="AB9" s="369"/>
      <c r="AC9" s="369"/>
      <c r="AD9" s="369"/>
      <c r="AE9" s="369"/>
      <c r="AF9" s="369"/>
      <c r="AG9" s="369"/>
      <c r="AH9" s="369"/>
      <c r="AI9" s="369"/>
      <c r="AJ9" s="369"/>
      <c r="AK9" s="1260" t="s">
        <v>480</v>
      </c>
      <c r="AM9" s="502"/>
      <c r="AN9" s="502" t="str">
        <f>IF(T9="","",T9)</f>
        <v>Добавить значение признака дифференциации</v>
      </c>
      <c r="AO9" s="502"/>
      <c r="AP9" s="502"/>
      <c r="AQ9" s="1157">
        <v>0</v>
      </c>
    </row>
    <row customHeight="1" ht="21" hidden="1">
      <c r="A10" s="1365"/>
      <c r="B10" s="1365"/>
      <c r="C10" s="1365"/>
      <c r="D10" s="1365"/>
      <c r="E10" s="2278"/>
      <c r="F10" s="2278"/>
      <c r="G10" s="2278"/>
      <c r="H10" s="2278"/>
      <c r="I10" s="2279"/>
      <c r="J10" s="1365"/>
      <c r="K10" s="1365"/>
      <c r="L10" s="1366"/>
      <c r="P10" s="2281"/>
      <c r="Q10" s="1452"/>
      <c r="R10" s="358"/>
      <c r="S10" s="1280"/>
      <c r="T10" s="367" t="s">
        <v>407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78"/>
      <c r="F12" s="2277"/>
      <c r="G12" s="1316"/>
      <c r="H12" s="1316"/>
      <c r="I12" s="1316"/>
      <c r="J12" s="1316"/>
      <c r="K12" s="1316"/>
      <c r="L12" s="1460"/>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75"/>
      <c r="AG15" s="2274" t="s">
        <v>65</v>
      </c>
      <c r="AH15" s="2275"/>
      <c r="AI15" s="2274" t="s">
        <v>65</v>
      </c>
      <c r="AQ15" s="1157">
        <v>0</v>
      </c>
    </row>
    <row customHeight="1" ht="14.25" hidden="1">
      <c r="AC16" s="1362"/>
      <c r="AD16" s="1362"/>
      <c r="AE16" s="330" t="str">
        <f>AF15&amp;"-"&amp;AH15</f>
        <v>-</v>
      </c>
      <c r="AF16" s="2274"/>
      <c r="AG16" s="2274"/>
      <c r="AH16" s="2274"/>
      <c r="AI16" s="2274"/>
      <c r="AQ16" s="1157">
        <v>0</v>
      </c>
    </row>
    <row customHeight="1" ht="14.25" hidden="1">
      <c r="AI17" s="329"/>
      <c r="AQ17" s="1157">
        <v>0</v>
      </c>
    </row>
    <row s="1368" customFormat="1" customHeight="1" ht="22.5" hidden="1">
      <c r="L18" s="1449"/>
      <c r="M18" s="1364"/>
      <c r="N18" s="1364"/>
      <c r="O18" s="1369" t="s">
        <v>412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413</v>
      </c>
      <c r="P20" s="1364"/>
      <c r="Q20" s="1444"/>
      <c r="R20" s="1444"/>
      <c r="S20" s="731"/>
      <c r="T20" s="1162" t="s">
        <v>414</v>
      </c>
      <c r="Z20" s="188" t="s">
        <v>415</v>
      </c>
      <c r="AB20" s="188" t="s">
        <v>416</v>
      </c>
      <c r="AC20" s="1162" t="s">
        <v>414</v>
      </c>
      <c r="AG20" s="188" t="s">
        <v>417</v>
      </c>
      <c r="AI20" s="188" t="s">
        <v>416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3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0"/>
      <c r="U24" s="2310"/>
      <c r="V24" s="2310"/>
      <c r="W24" s="2310"/>
      <c r="X24" s="2310"/>
      <c r="Y24" s="2310"/>
      <c r="Z24" s="2310"/>
      <c r="AA24" s="2310"/>
      <c r="AB24" s="2310"/>
      <c r="AC24" s="2310"/>
      <c r="AD24" s="2310"/>
      <c r="AE24" s="2310"/>
      <c r="AF24" s="2310"/>
      <c r="AG24" s="2310"/>
      <c r="AH24" s="2310"/>
      <c r="AI24" s="1245"/>
      <c r="AQ24" s="1157">
        <v>14</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328"/>
      <c r="AC27" s="2270" t="str">
        <f>IF(TITLE_NAME_OR_PR_CHANGE="",IF(TITLE_NAME_OR_PR="","",TITLE_NAME_OR_PR),TITLE_NAME_OR_PR_CHANGE)</f>
        <v/>
      </c>
      <c r="AD27" s="2270"/>
      <c r="AE27" s="2270"/>
      <c r="AF27" s="2270"/>
      <c r="AG27" s="2270"/>
      <c r="AH27" s="2270"/>
      <c r="AI27" s="328"/>
      <c r="AJ27" s="328"/>
      <c r="AK27" s="282"/>
      <c r="AL27" s="370"/>
      <c r="AM27" s="370"/>
      <c r="AN27" s="370"/>
      <c r="AO27" s="370"/>
      <c r="AP27" s="370"/>
      <c r="AQ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328"/>
      <c r="AC28" s="2269" t="str">
        <f>IF(TITLE_DATE_PR_CHANGE="",IF(TITLE_DATE_PR="","",TITLE_DATE_PR),TITLE_DATE_PR_CHANGE)</f>
        <v/>
      </c>
      <c r="AD28" s="2269"/>
      <c r="AE28" s="2269"/>
      <c r="AF28" s="2269"/>
      <c r="AG28" s="2269"/>
      <c r="AH28" s="2269"/>
      <c r="AI28" s="328"/>
      <c r="AJ28" s="328"/>
      <c r="AK28" s="282"/>
      <c r="AL28" s="370"/>
      <c r="AM28" s="370"/>
      <c r="AN28" s="370"/>
      <c r="AO28" s="370"/>
      <c r="AP28" s="370"/>
      <c r="AQ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328"/>
      <c r="AC29" s="2270" t="str">
        <f>IF(TITLE_NUMBER_PR_CHANGE="",IF(TITLE_NUMBER_PR="","",TITLE_NUMBER_PR),TITLE_NUMBER_PR_CHANGE)</f>
        <v/>
      </c>
      <c r="AD29" s="2270"/>
      <c r="AE29" s="2270"/>
      <c r="AF29" s="2270"/>
      <c r="AG29" s="2270"/>
      <c r="AH29" s="2270"/>
      <c r="AI29" s="328"/>
      <c r="AJ29" s="328"/>
      <c r="AK29" s="282"/>
      <c r="AL29" s="370"/>
      <c r="AM29" s="370"/>
      <c r="AN29" s="370"/>
      <c r="AO29" s="370"/>
      <c r="AP29" s="370"/>
      <c r="AQ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328"/>
      <c r="AC30" s="2270" t="str">
        <f>IF(TITLE_IST_PUB_CHANGE="",IF(TITLE_IST_PUB="","",TITLE_IST_PUB),TITLE_IST_PUB_CHANGE)</f>
        <v/>
      </c>
      <c r="AD30" s="2270"/>
      <c r="AE30" s="2270"/>
      <c r="AF30" s="2270"/>
      <c r="AG30" s="2270"/>
      <c r="AH30" s="2270"/>
      <c r="AI30" s="328"/>
      <c r="AJ30" s="328"/>
      <c r="AK30" s="282"/>
      <c r="AL30" s="370"/>
      <c r="AM30" s="370"/>
      <c r="AN30" s="370"/>
      <c r="AO30" s="370"/>
      <c r="AP30" s="370"/>
      <c r="AQ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511"/>
      <c r="AQ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328"/>
      <c r="AC32" s="2269" t="str">
        <f>IF(TITLE_DATE_PR_CHANGE="",IF(TITLE_DATE_PR="","",TITLE_DATE_PR),TITLE_DATE_PR_CHANGE)</f>
        <v/>
      </c>
      <c r="AD32" s="2269"/>
      <c r="AE32" s="2269"/>
      <c r="AF32" s="2269"/>
      <c r="AG32" s="2269"/>
      <c r="AH32" s="2269"/>
      <c r="AI32" s="328"/>
      <c r="AJ32" s="328"/>
      <c r="AK32" s="282"/>
      <c r="AL32" s="370"/>
      <c r="AM32" s="370"/>
      <c r="AN32" s="370"/>
      <c r="AO32" s="370"/>
      <c r="AP32" s="370"/>
      <c r="AQ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328"/>
      <c r="AC33" s="2270" t="str">
        <f>IF(TITLE_NUMBER_PR_CHANGE="",IF(TITLE_NUMBER_PR="","",TITLE_NUMBER_PR),TITLE_NUMBER_PR_CHANGE)</f>
        <v/>
      </c>
      <c r="AD33" s="2270"/>
      <c r="AE33" s="2270"/>
      <c r="AF33" s="2270"/>
      <c r="AG33" s="2270"/>
      <c r="AH33" s="2270"/>
      <c r="AI33" s="328"/>
      <c r="AJ33" s="328"/>
      <c r="AK33" s="282"/>
      <c r="AL33" s="370"/>
      <c r="AM33" s="370"/>
      <c r="AN33" s="370"/>
      <c r="AO33" s="370"/>
      <c r="AP33" s="370"/>
      <c r="AQ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418</v>
      </c>
      <c r="AC34" s="328"/>
      <c r="AD34" s="328"/>
      <c r="AE34" s="328"/>
      <c r="AF34" s="328"/>
      <c r="AG34" s="328"/>
      <c r="AH34" s="328"/>
      <c r="AI34" s="280" t="s">
        <v>418</v>
      </c>
      <c r="AL34" s="370"/>
      <c r="AM34" s="370"/>
      <c r="AN34" s="370"/>
      <c r="AO34" s="370"/>
      <c r="AP34" s="370"/>
      <c r="AQ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Q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t="s">
        <v>296</v>
      </c>
      <c r="AQ36" s="1157">
        <v>14</v>
      </c>
    </row>
    <row customHeight="1" ht="14.699999999999998">
      <c r="Q37" s="378"/>
      <c r="R37" s="378"/>
      <c r="S37" s="2295" t="s">
        <v>88</v>
      </c>
      <c r="T37" s="2232" t="s">
        <v>419</v>
      </c>
      <c r="U37" s="303"/>
      <c r="V37" s="2296" t="s">
        <v>420</v>
      </c>
      <c r="W37" s="2297"/>
      <c r="X37" s="2297"/>
      <c r="Y37" s="2297"/>
      <c r="Z37" s="2297"/>
      <c r="AA37" s="2298"/>
      <c r="AB37" s="2299" t="s">
        <v>421</v>
      </c>
      <c r="AC37" s="2296" t="s">
        <v>420</v>
      </c>
      <c r="AD37" s="2297"/>
      <c r="AE37" s="2297"/>
      <c r="AF37" s="2297"/>
      <c r="AG37" s="2297"/>
      <c r="AH37" s="2298"/>
      <c r="AI37" s="2299" t="s">
        <v>422</v>
      </c>
      <c r="AJ37" s="2302" t="s">
        <v>423</v>
      </c>
      <c r="AK37" s="2140"/>
      <c r="AQ37" s="1157">
        <v>14</v>
      </c>
    </row>
    <row customHeight="1" ht="35.699999999999996">
      <c r="Q38" s="378"/>
      <c r="R38" s="378"/>
      <c r="S38" s="2295"/>
      <c r="T38" s="2232"/>
      <c r="U38" s="1033"/>
      <c r="V38" s="1454" t="s">
        <v>482</v>
      </c>
      <c r="W38" s="2288" t="s">
        <v>426</v>
      </c>
      <c r="X38" s="2290"/>
      <c r="Y38" s="2288" t="s">
        <v>427</v>
      </c>
      <c r="Z38" s="2289"/>
      <c r="AA38" s="2290"/>
      <c r="AB38" s="2300"/>
      <c r="AC38" s="1454" t="s">
        <v>482</v>
      </c>
      <c r="AD38" s="2288" t="s">
        <v>426</v>
      </c>
      <c r="AE38" s="2290"/>
      <c r="AF38" s="2288" t="s">
        <v>427</v>
      </c>
      <c r="AG38" s="2289"/>
      <c r="AH38" s="2290"/>
      <c r="AI38" s="2300"/>
      <c r="AJ38" s="2303"/>
      <c r="AK38" s="2140"/>
      <c r="AQ38" s="1157">
        <v>34</v>
      </c>
    </row>
    <row customHeight="1" ht="35.699999999999996">
      <c r="A39" s="1372"/>
      <c r="B39" s="1372" t="s">
        <v>132</v>
      </c>
      <c r="C39" s="1372" t="s">
        <v>133</v>
      </c>
      <c r="D39" s="1372" t="s">
        <v>134</v>
      </c>
      <c r="E39" s="1366" t="s">
        <v>428</v>
      </c>
      <c r="F39" s="1366" t="s">
        <v>429</v>
      </c>
      <c r="G39" s="1366" t="s">
        <v>430</v>
      </c>
      <c r="H39" s="1366"/>
      <c r="I39" s="1366" t="s">
        <v>483</v>
      </c>
      <c r="J39" s="1366" t="s">
        <v>433</v>
      </c>
      <c r="K39" s="1366" t="s">
        <v>484</v>
      </c>
      <c r="L39" s="1366" t="s">
        <v>413</v>
      </c>
      <c r="Q39" s="378"/>
      <c r="R39" s="378"/>
      <c r="S39" s="2295"/>
      <c r="T39" s="2232"/>
      <c r="U39" s="304"/>
      <c r="V39" s="1454" t="s">
        <v>485</v>
      </c>
      <c r="W39" s="1224" t="s">
        <v>486</v>
      </c>
      <c r="X39" s="1224" t="s">
        <v>487</v>
      </c>
      <c r="Y39" s="1457" t="s">
        <v>437</v>
      </c>
      <c r="Z39" s="2291" t="s">
        <v>438</v>
      </c>
      <c r="AA39" s="2292"/>
      <c r="AB39" s="2301"/>
      <c r="AC39" s="1454" t="s">
        <v>485</v>
      </c>
      <c r="AD39" s="1224" t="s">
        <v>486</v>
      </c>
      <c r="AE39" s="1224" t="s">
        <v>487</v>
      </c>
      <c r="AF39" s="1457" t="s">
        <v>437</v>
      </c>
      <c r="AG39" s="2291" t="s">
        <v>438</v>
      </c>
      <c r="AH39" s="2292"/>
      <c r="AI39" s="2301"/>
      <c r="AJ39" s="2304"/>
      <c r="AK39" s="2140"/>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106</v>
      </c>
      <c r="T40" s="1257" t="s">
        <v>107</v>
      </c>
      <c r="U40" s="1247" t="str">
        <f>OFFSET(U40,0,-1)</f>
        <v>2</v>
      </c>
      <c r="V40" s="1453">
        <f>OFFSET(V40,0,-1)+1</f>
        <v>3</v>
      </c>
      <c r="W40" s="1453">
        <f>OFFSET(W40,0,-1)+1</f>
        <v>4</v>
      </c>
      <c r="X40" s="1453">
        <f>OFFSET(X40,0,-1)+1</f>
        <v>5</v>
      </c>
      <c r="Y40" s="1453">
        <f>OFFSET(Y40,0,-1)+1</f>
        <v>6</v>
      </c>
      <c r="Z40" s="2293">
        <f>OFFSET(Z40,0,-1)+1</f>
        <v>7</v>
      </c>
      <c r="AA40" s="2293"/>
      <c r="AB40" s="1453">
        <f>OFFSET(AB40,0,-2)+1</f>
        <v>8</v>
      </c>
      <c r="AC40" s="1453">
        <f>OFFSET(AC40,0,-1)+1</f>
        <v>9</v>
      </c>
      <c r="AD40" s="1453">
        <f>OFFSET(AD40,0,-1)+1</f>
        <v>10</v>
      </c>
      <c r="AE40" s="1453">
        <f>OFFSET(AE40,0,-1)+1</f>
        <v>11</v>
      </c>
      <c r="AF40" s="1453">
        <f>OFFSET(AF40,0,-1)+1</f>
        <v>12</v>
      </c>
      <c r="AG40" s="2293">
        <f>OFFSET(AG40,0,-1)+1</f>
        <v>13</v>
      </c>
      <c r="AH40" s="2293"/>
      <c r="AI40" s="1453">
        <f>OFFSET(AI40,0,-2)+1</f>
        <v>14</v>
      </c>
      <c r="AJ40" s="1247">
        <f>OFFSET(AJ40,0,-1)</f>
        <v>14</v>
      </c>
      <c r="AK40" s="1453">
        <f>OFFSET(AK40,0,-1)+1</f>
        <v>15</v>
      </c>
      <c r="AL40" s="513"/>
      <c r="AM40" s="513"/>
      <c r="AN40" s="513"/>
      <c r="AO40" s="513"/>
      <c r="AP40" s="513"/>
      <c r="AQ40" s="498">
        <v>0</v>
      </c>
    </row>
    <row customHeight="1" ht="24">
      <c r="A41" s="1365" t="s">
        <v>226</v>
      </c>
      <c r="B41" s="1365"/>
      <c r="C41" s="1365"/>
      <c r="D41" s="1365"/>
      <c r="E41" s="2277">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120</v>
      </c>
      <c r="U41" s="302"/>
      <c r="V41" s="2271"/>
      <c r="W41" s="2272"/>
      <c r="X41" s="2272"/>
      <c r="Y41" s="2272"/>
      <c r="Z41" s="2272"/>
      <c r="AA41" s="2272"/>
      <c r="AB41" s="2273"/>
      <c r="AC41" s="2271" t="str">
        <f>INDEX(PT_DIFFERENTIATION_NTAR,MATCH(A41,PT_DIFFERENTIATION_NTAR_ID,0))</f>
        <v/>
      </c>
      <c r="AD41" s="2272"/>
      <c r="AE41" s="2272"/>
      <c r="AF41" s="2272"/>
      <c r="AG41" s="2272"/>
      <c r="AH41" s="2272"/>
      <c r="AI41" s="2272"/>
      <c r="AJ41" s="2273"/>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226</v>
      </c>
      <c r="B42" s="1365" t="s">
        <v>227</v>
      </c>
      <c r="C42" s="1365"/>
      <c r="D42" s="1365"/>
      <c r="E42" s="2278"/>
      <c r="F42" s="2277">
        <v>1</v>
      </c>
      <c r="G42" s="1365"/>
      <c r="H42" s="1365"/>
      <c r="I42" s="1365"/>
      <c r="J42" s="1365"/>
      <c r="K42" s="1365"/>
      <c r="L42" s="1366"/>
      <c r="M42" s="1367"/>
      <c r="N42" s="1367"/>
      <c r="O42" s="1367"/>
      <c r="P42" s="1455"/>
      <c r="Q42" s="354"/>
      <c r="R42" s="355"/>
      <c r="S42" s="1459" t="str">
        <f>INDEX(PT_DIFFERENTIATION_NUM_TER,MATCH(B42,PT_DIFFERENTIATION_TER_ID,0))</f>
        <v>.</v>
      </c>
      <c r="T42" s="310" t="s">
        <v>392</v>
      </c>
      <c r="U42" s="302"/>
      <c r="V42" s="2271"/>
      <c r="W42" s="2272"/>
      <c r="X42" s="2272"/>
      <c r="Y42" s="2272"/>
      <c r="Z42" s="2272"/>
      <c r="AA42" s="2272"/>
      <c r="AB42" s="2273"/>
      <c r="AC42" s="2271" t="str">
        <f>INDEX(PT_DIFFERENTIATION_TER,MATCH(B42,PT_DIFFERENTIATION_TER_ID,0))</f>
        <v/>
      </c>
      <c r="AD42" s="2272"/>
      <c r="AE42" s="2272"/>
      <c r="AF42" s="2272"/>
      <c r="AG42" s="2272"/>
      <c r="AH42" s="2272"/>
      <c r="AI42" s="2272"/>
      <c r="AJ42" s="2273"/>
      <c r="AK42" s="1260" t="s">
        <v>393</v>
      </c>
      <c r="AM42" s="502"/>
      <c r="AN42" s="502" t="str">
        <f>IF(T42="","",T42)</f>
        <v>Территория действия тарифа</v>
      </c>
      <c r="AO42" s="502"/>
      <c r="AP42" s="502"/>
      <c r="AQ42" s="1157">
        <v>23</v>
      </c>
    </row>
    <row customHeight="1" ht="24">
      <c r="A43" s="1365" t="s">
        <v>226</v>
      </c>
      <c r="B43" s="1365" t="s">
        <v>227</v>
      </c>
      <c r="C43" s="1365" t="s">
        <v>228</v>
      </c>
      <c r="D43" s="1365"/>
      <c r="E43" s="2278"/>
      <c r="F43" s="2278"/>
      <c r="G43" s="2277">
        <v>1</v>
      </c>
      <c r="H43" s="1365"/>
      <c r="I43" s="1365"/>
      <c r="J43" s="1365"/>
      <c r="K43" s="1365"/>
      <c r="L43" s="1366"/>
      <c r="M43" s="1367"/>
      <c r="N43" s="1367"/>
      <c r="O43" s="1367"/>
      <c r="P43" s="356"/>
      <c r="Q43" s="354"/>
      <c r="R43" s="355"/>
      <c r="S43" s="1459" t="str">
        <f>INDEX(PT_DIFFERENTIATION_NUM_CS,MATCH(C43,PT_DIFFERENTIATION_CS_ID,0))</f>
        <v>..</v>
      </c>
      <c r="T43" s="311" t="s">
        <v>474</v>
      </c>
      <c r="U43" s="302"/>
      <c r="V43" s="2271"/>
      <c r="W43" s="2272"/>
      <c r="X43" s="2272"/>
      <c r="Y43" s="2272"/>
      <c r="Z43" s="2272"/>
      <c r="AA43" s="2272"/>
      <c r="AB43" s="2273"/>
      <c r="AC43" s="2271" t="str">
        <f>INDEX(PT_DIFFERENTIATION_CS,MATCH(C43,PT_DIFFERENTIATION_CS_ID,0))</f>
        <v/>
      </c>
      <c r="AD43" s="2272"/>
      <c r="AE43" s="2272"/>
      <c r="AF43" s="2272"/>
      <c r="AG43" s="2272"/>
      <c r="AH43" s="2272"/>
      <c r="AI43" s="2272"/>
      <c r="AJ43" s="2273"/>
      <c r="AK43" s="1260" t="s">
        <v>475</v>
      </c>
      <c r="AM43" s="502"/>
      <c r="AN43" s="502" t="str">
        <f>IF(T43="","",T43)</f>
        <v>Наименование централизованной системы холодного водоснабжения</v>
      </c>
      <c r="AO43" s="502"/>
      <c r="AP43" s="502"/>
      <c r="AQ43" s="1157">
        <v>23</v>
      </c>
    </row>
    <row customHeight="1" ht="24">
      <c r="A44" s="1365" t="s">
        <v>226</v>
      </c>
      <c r="B44" s="1365" t="s">
        <v>227</v>
      </c>
      <c r="C44" s="1365" t="s">
        <v>228</v>
      </c>
      <c r="D44" s="1365" t="s">
        <v>489</v>
      </c>
      <c r="E44" s="2278"/>
      <c r="F44" s="2278"/>
      <c r="G44" s="2278"/>
      <c r="H44" s="2278"/>
      <c r="I44" s="2279" t="str">
        <f>S43&amp;".1"</f>
        <v>...1</v>
      </c>
      <c r="J44" s="1365"/>
      <c r="K44" s="1365"/>
      <c r="L44" s="1366"/>
      <c r="P44" s="2281">
        <v>1</v>
      </c>
      <c r="Q44" s="1452"/>
      <c r="R44" s="358"/>
      <c r="S44" s="1459" t="str">
        <f>$I44</f>
        <v>...1</v>
      </c>
      <c r="T44" s="287" t="s">
        <v>476</v>
      </c>
      <c r="U44" s="302"/>
      <c r="V44" s="2375"/>
      <c r="W44" s="2376"/>
      <c r="X44" s="2376"/>
      <c r="Y44" s="2376"/>
      <c r="Z44" s="2376"/>
      <c r="AA44" s="2376"/>
      <c r="AB44" s="2377"/>
      <c r="AC44" s="2378"/>
      <c r="AD44" s="2379"/>
      <c r="AE44" s="2379"/>
      <c r="AF44" s="2379"/>
      <c r="AG44" s="2379"/>
      <c r="AH44" s="2379"/>
      <c r="AI44" s="2379"/>
      <c r="AJ44" s="2380"/>
      <c r="AK44" s="1260" t="s">
        <v>477</v>
      </c>
      <c r="AM44" s="502"/>
      <c r="AN44" s="502" t="str">
        <f>IF(T44="","",T44)</f>
        <v>Наименование признака дифференциации</v>
      </c>
      <c r="AO44" s="502"/>
      <c r="AP44" s="502"/>
      <c r="AQ44" s="1157">
        <v>23</v>
      </c>
    </row>
    <row customHeight="1" ht="24">
      <c r="A45" s="1365" t="s">
        <v>226</v>
      </c>
      <c r="B45" s="1365" t="s">
        <v>227</v>
      </c>
      <c r="C45" s="1365" t="s">
        <v>228</v>
      </c>
      <c r="D45" s="1365" t="s">
        <v>489</v>
      </c>
      <c r="E45" s="2278"/>
      <c r="F45" s="2278"/>
      <c r="G45" s="2278"/>
      <c r="H45" s="2278"/>
      <c r="I45" s="2280"/>
      <c r="J45" s="2279" t="str">
        <f>I44&amp;".1"</f>
        <v>...1.1</v>
      </c>
      <c r="K45" s="1365"/>
      <c r="L45" s="1366" t="s">
        <v>401</v>
      </c>
      <c r="P45" s="2281"/>
      <c r="Q45" s="2281">
        <v>1</v>
      </c>
      <c r="R45" s="359"/>
      <c r="S45" s="1459" t="str">
        <f>$J45</f>
        <v>...1.1</v>
      </c>
      <c r="T45" s="288" t="s">
        <v>402</v>
      </c>
      <c r="U45" s="302"/>
      <c r="V45" s="2265"/>
      <c r="W45" s="2266"/>
      <c r="X45" s="2266"/>
      <c r="Y45" s="2266"/>
      <c r="Z45" s="2266"/>
      <c r="AA45" s="2266"/>
      <c r="AB45" s="2267"/>
      <c r="AC45" s="2265"/>
      <c r="AD45" s="2266"/>
      <c r="AE45" s="2266"/>
      <c r="AF45" s="2266"/>
      <c r="AG45" s="2266"/>
      <c r="AH45" s="2266"/>
      <c r="AI45" s="2266"/>
      <c r="AJ45" s="2267"/>
      <c r="AK45" s="1309" t="s">
        <v>478</v>
      </c>
      <c r="AM45" s="502"/>
      <c r="AN45" s="502" t="str">
        <f>IF(T45="","",T45)</f>
        <v>Группа потребителей</v>
      </c>
      <c r="AO45" s="502"/>
      <c r="AP45" s="502"/>
      <c r="AQ45" s="1157">
        <v>23</v>
      </c>
    </row>
    <row customHeight="1" ht="24">
      <c r="A46" s="1365" t="s">
        <v>226</v>
      </c>
      <c r="B46" s="1365" t="s">
        <v>227</v>
      </c>
      <c r="C46" s="1365" t="s">
        <v>228</v>
      </c>
      <c r="D46" s="1365" t="s">
        <v>489</v>
      </c>
      <c r="E46" s="2278"/>
      <c r="F46" s="2278"/>
      <c r="G46" s="2278"/>
      <c r="H46" s="2278"/>
      <c r="I46" s="2280"/>
      <c r="J46" s="2280"/>
      <c r="K46" s="2279" t="str">
        <f>J45&amp;".1"</f>
        <v>...1.1.1</v>
      </c>
      <c r="L46" s="1366"/>
      <c r="P46" s="2281"/>
      <c r="Q46" s="2281"/>
      <c r="R46" s="359">
        <v>1</v>
      </c>
      <c r="S46" s="1459" t="str">
        <f>$K46</f>
        <v>...1.1.1</v>
      </c>
      <c r="T46" s="1439"/>
      <c r="U46" s="302"/>
      <c r="V46" s="753"/>
      <c r="W46" s="753"/>
      <c r="X46" s="1259"/>
      <c r="Y46" s="2282"/>
      <c r="Z46" s="2150" t="s">
        <v>65</v>
      </c>
      <c r="AA46" s="2282"/>
      <c r="AB46" s="2150" t="s">
        <v>65</v>
      </c>
      <c r="AC46" s="753"/>
      <c r="AD46" s="753"/>
      <c r="AE46" s="1259"/>
      <c r="AF46" s="2282"/>
      <c r="AG46" s="2150" t="s">
        <v>65</v>
      </c>
      <c r="AH46" s="2284"/>
      <c r="AI46" s="2150" t="s">
        <v>65</v>
      </c>
      <c r="AJ46" s="1440"/>
      <c r="AK46"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226</v>
      </c>
      <c r="B47" s="1365" t="s">
        <v>227</v>
      </c>
      <c r="C47" s="1365" t="s">
        <v>228</v>
      </c>
      <c r="D47" s="1365" t="s">
        <v>489</v>
      </c>
      <c r="E47" s="2278"/>
      <c r="F47" s="2278"/>
      <c r="G47" s="2278"/>
      <c r="H47" s="2278"/>
      <c r="I47" s="2280"/>
      <c r="J47" s="2280"/>
      <c r="K47" s="2279"/>
      <c r="L47" s="1366"/>
      <c r="P47" s="2281"/>
      <c r="Q47" s="2281"/>
      <c r="R47" s="359"/>
      <c r="S47" s="1458"/>
      <c r="T47" s="302"/>
      <c r="U47" s="302"/>
      <c r="V47" s="327"/>
      <c r="W47" s="327"/>
      <c r="X47" s="330" t="str">
        <f>Y46&amp;"-"&amp;AA46</f>
        <v>-</v>
      </c>
      <c r="Y47" s="2283"/>
      <c r="Z47" s="2150"/>
      <c r="AA47" s="2283"/>
      <c r="AB47" s="2150"/>
      <c r="AC47" s="327"/>
      <c r="AD47" s="327"/>
      <c r="AE47" s="330" t="str">
        <f>AF46&amp;"-"&amp;AH46</f>
        <v>-</v>
      </c>
      <c r="AF47" s="2283"/>
      <c r="AG47" s="2150"/>
      <c r="AH47" s="2285"/>
      <c r="AI47" s="2150"/>
      <c r="AJ47" s="1441"/>
      <c r="AK47" s="2381"/>
      <c r="AM47" s="502"/>
      <c r="AN47" s="502" t="str">
        <f>IF(T47="","",T47)</f>
        <v/>
      </c>
      <c r="AO47" s="502"/>
      <c r="AP47" s="502"/>
      <c r="AQ47" s="1157">
        <v>0</v>
      </c>
    </row>
    <row customHeight="1" ht="21">
      <c r="A48" s="1365" t="s">
        <v>226</v>
      </c>
      <c r="B48" s="1365" t="s">
        <v>227</v>
      </c>
      <c r="C48" s="1365" t="s">
        <v>228</v>
      </c>
      <c r="D48" s="1365" t="s">
        <v>489</v>
      </c>
      <c r="E48" s="2278"/>
      <c r="F48" s="2278"/>
      <c r="G48" s="2278"/>
      <c r="H48" s="2278"/>
      <c r="I48" s="2280"/>
      <c r="J48" s="2279"/>
      <c r="K48" s="1365"/>
      <c r="L48" s="1366"/>
      <c r="P48" s="2281"/>
      <c r="Q48" s="2281"/>
      <c r="R48" s="358"/>
      <c r="S48" s="1280"/>
      <c r="T48" s="289" t="s">
        <v>479</v>
      </c>
      <c r="U48" s="369"/>
      <c r="V48" s="369"/>
      <c r="W48" s="369"/>
      <c r="X48" s="369"/>
      <c r="Y48" s="369"/>
      <c r="Z48" s="369"/>
      <c r="AA48" s="369"/>
      <c r="AB48" s="369"/>
      <c r="AC48" s="369"/>
      <c r="AD48" s="369"/>
      <c r="AE48" s="369"/>
      <c r="AF48" s="369"/>
      <c r="AG48" s="369"/>
      <c r="AH48" s="369"/>
      <c r="AI48" s="369"/>
      <c r="AJ48" s="369"/>
      <c r="AK48" s="1260" t="s">
        <v>480</v>
      </c>
      <c r="AM48" s="502"/>
      <c r="AN48" s="502" t="str">
        <f>IF(T48="","",T48)</f>
        <v>Добавить значение признака дифференциации</v>
      </c>
      <c r="AO48" s="502"/>
      <c r="AP48" s="502"/>
      <c r="AQ48" s="1157">
        <v>20</v>
      </c>
    </row>
    <row customHeight="1" ht="22.049999999999997">
      <c r="A49" s="1365" t="s">
        <v>226</v>
      </c>
      <c r="B49" s="1365" t="s">
        <v>227</v>
      </c>
      <c r="C49" s="1365" t="s">
        <v>228</v>
      </c>
      <c r="D49" s="1365" t="s">
        <v>489</v>
      </c>
      <c r="E49" s="2278"/>
      <c r="F49" s="2278"/>
      <c r="G49" s="2278"/>
      <c r="H49" s="2278"/>
      <c r="I49" s="2279"/>
      <c r="J49" s="1365"/>
      <c r="K49" s="1365"/>
      <c r="L49" s="1366"/>
      <c r="P49" s="2281"/>
      <c r="Q49" s="1452"/>
      <c r="R49" s="358"/>
      <c r="S49" s="1280"/>
      <c r="T49" s="367" t="s">
        <v>407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226</v>
      </c>
      <c r="B50" s="1365" t="s">
        <v>227</v>
      </c>
      <c r="C50" s="1365" t="s">
        <v>228</v>
      </c>
      <c r="D50" s="1365" t="s">
        <v>489</v>
      </c>
      <c r="E50" s="2278"/>
      <c r="F50" s="2278"/>
      <c r="G50" s="2278"/>
      <c r="H50" s="2277"/>
      <c r="I50" s="1365"/>
      <c r="J50" s="1365"/>
      <c r="K50" s="1365"/>
      <c r="L50" s="1366"/>
      <c r="M50" s="1367"/>
      <c r="N50" s="1367"/>
      <c r="O50" s="539"/>
      <c r="P50" s="362"/>
      <c r="Q50" s="377"/>
      <c r="R50" s="357"/>
      <c r="S50" s="1280"/>
      <c r="T50" s="374" t="s">
        <v>481</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226</v>
      </c>
      <c r="B51" s="1345" t="s">
        <v>227</v>
      </c>
      <c r="C51" s="1316"/>
      <c r="D51" s="1316"/>
      <c r="E51" s="2278"/>
      <c r="F51" s="2277"/>
      <c r="G51" s="1316"/>
      <c r="H51" s="1316"/>
      <c r="I51" s="1316"/>
      <c r="J51" s="1316"/>
      <c r="K51" s="1316"/>
      <c r="L51" s="1460"/>
      <c r="M51" s="1323"/>
      <c r="N51" s="1323"/>
      <c r="P51" s="1318"/>
      <c r="Q51" s="1319"/>
      <c r="R51" s="1318"/>
      <c r="S51" s="1324"/>
      <c r="T51" s="1327" t="s">
        <v>410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226</v>
      </c>
      <c r="B52" s="1345"/>
      <c r="C52" s="1345"/>
      <c r="D52" s="1345"/>
      <c r="E52" s="2277"/>
      <c r="F52" s="1345"/>
      <c r="G52" s="1345"/>
      <c r="H52" s="1345"/>
      <c r="I52" s="1345"/>
      <c r="J52" s="1345"/>
      <c r="K52" s="1345"/>
      <c r="L52" s="1348"/>
      <c r="M52" s="1323"/>
      <c r="N52" s="1323"/>
      <c r="O52" s="520"/>
      <c r="P52" s="382"/>
      <c r="Q52" s="1346"/>
      <c r="R52" s="382"/>
      <c r="S52" s="1324"/>
      <c r="T52" s="1327" t="s">
        <v>411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439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76"/>
      <c r="U55" s="2276"/>
      <c r="V55" s="2276"/>
      <c r="W55" s="2276"/>
      <c r="X55" s="2276"/>
      <c r="Y55" s="2276"/>
      <c r="Z55" s="2276"/>
      <c r="AA55" s="2276"/>
      <c r="AB55" s="2276"/>
      <c r="AC55" s="2276"/>
      <c r="AD55" s="2276"/>
      <c r="AE55" s="2276"/>
      <c r="AF55" s="2276"/>
      <c r="AG55" s="2276"/>
      <c r="AH55" s="2276"/>
      <c r="AI55" s="2276"/>
      <c r="AJ55" s="2276"/>
      <c r="AK55" s="2276"/>
      <c r="AQ55" s="1157">
        <v>14</v>
      </c>
    </row>
    <row customHeight="1" ht="14.699999999999998">
      <c r="O56" s="539"/>
      <c r="AQ56" s="1157">
        <v>14</v>
      </c>
    </row>
    <row customHeight="1" ht="14.699999999999998">
      <c r="O57" s="539"/>
      <c r="S57" s="1255"/>
      <c r="T57" s="2276"/>
      <c r="U57" s="2276"/>
      <c r="V57" s="2276"/>
      <c r="W57" s="2276"/>
      <c r="X57" s="2276"/>
      <c r="Y57" s="2276"/>
      <c r="Z57" s="2276"/>
      <c r="AA57" s="2276"/>
      <c r="AB57" s="2276"/>
      <c r="AC57" s="2276"/>
      <c r="AD57" s="2276"/>
      <c r="AE57" s="2276"/>
      <c r="AF57" s="2276"/>
      <c r="AG57" s="2276"/>
      <c r="AH57" s="2276"/>
      <c r="AI57" s="2276"/>
      <c r="AJ57" s="2276"/>
      <c r="AK57" s="2276"/>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1E488-ABBA-A06C-29C5-BA82E3B1DAD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59">
        <f>INDEX(PT_DIFFERENTIATION_NUM_NTAR,MATCH(A2,PT_DIFFERENTIATION_NTAR_ID,0))</f>
      </c>
      <c r="T2" s="300" t="s">
        <v>120</v>
      </c>
      <c r="U2" s="302"/>
      <c r="V2" s="2271"/>
      <c r="W2" s="2272"/>
      <c r="X2" s="2272"/>
      <c r="Y2" s="2272"/>
      <c r="Z2" s="2272"/>
      <c r="AA2" s="2272"/>
      <c r="AB2" s="2273"/>
      <c r="AC2" s="2271">
        <f>INDEX(PT_DIFFERENTIATION_NTAR,MATCH(A2,PT_DIFFERENTIATION_NTAR_ID,0))</f>
      </c>
      <c r="AD2" s="2272"/>
      <c r="AE2" s="2272"/>
      <c r="AF2" s="2272"/>
      <c r="AG2" s="2272"/>
      <c r="AH2" s="2272"/>
      <c r="AI2" s="2272"/>
      <c r="AJ2" s="2273"/>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78"/>
      <c r="F3" s="2277">
        <v>1</v>
      </c>
      <c r="G3" s="1365"/>
      <c r="H3" s="1365"/>
      <c r="I3" s="1365"/>
      <c r="J3" s="1365"/>
      <c r="K3" s="1365"/>
      <c r="L3" s="1366"/>
      <c r="M3" s="1367"/>
      <c r="N3" s="1367"/>
      <c r="O3" s="1367"/>
      <c r="P3" s="1455"/>
      <c r="Q3" s="354"/>
      <c r="R3" s="355"/>
      <c r="S3" s="1459">
        <f>INDEX(PT_DIFFERENTIATION_NUM_TER,MATCH(B3,PT_DIFFERENTIATION_TER_ID,0))</f>
      </c>
      <c r="T3" s="310" t="s">
        <v>392</v>
      </c>
      <c r="U3" s="302"/>
      <c r="V3" s="2271"/>
      <c r="W3" s="2272"/>
      <c r="X3" s="2272"/>
      <c r="Y3" s="2272"/>
      <c r="Z3" s="2272"/>
      <c r="AA3" s="2272"/>
      <c r="AB3" s="2273"/>
      <c r="AC3" s="2271">
        <f>INDEX(PT_DIFFERENTIATION_TER,MATCH(B3,PT_DIFFERENTIATION_TER_ID,0))</f>
      </c>
      <c r="AD3" s="2272"/>
      <c r="AE3" s="2272"/>
      <c r="AF3" s="2272"/>
      <c r="AG3" s="2272"/>
      <c r="AH3" s="2272"/>
      <c r="AI3" s="2272"/>
      <c r="AJ3" s="2273"/>
      <c r="AK3" s="1260" t="s">
        <v>393</v>
      </c>
      <c r="AM3" s="502"/>
      <c r="AN3" s="502" t="str">
        <f>IF(T3="","",T3)</f>
        <v>Территория действия тарифа</v>
      </c>
      <c r="AO3" s="502"/>
      <c r="AP3" s="502"/>
      <c r="AQ3" s="1157">
        <v>0</v>
      </c>
    </row>
    <row customHeight="1" ht="23.25" hidden="1">
      <c r="A4" s="1365"/>
      <c r="B4" s="1365"/>
      <c r="C4" s="1365"/>
      <c r="D4" s="1365"/>
      <c r="E4" s="2278"/>
      <c r="F4" s="2278"/>
      <c r="G4" s="2277">
        <v>1</v>
      </c>
      <c r="H4" s="1365"/>
      <c r="I4" s="1365"/>
      <c r="J4" s="1365"/>
      <c r="K4" s="1365"/>
      <c r="L4" s="1366"/>
      <c r="M4" s="1367"/>
      <c r="N4" s="1367"/>
      <c r="O4" s="1367"/>
      <c r="P4" s="356"/>
      <c r="Q4" s="354"/>
      <c r="R4" s="355"/>
      <c r="S4" s="1459">
        <f>INDEX(PT_DIFFERENTIATION_NUM_CS,MATCH(C4,PT_DIFFERENTIATION_CS_ID,0))</f>
      </c>
      <c r="T4" s="311" t="s">
        <v>474</v>
      </c>
      <c r="U4" s="302"/>
      <c r="V4" s="2271"/>
      <c r="W4" s="2272"/>
      <c r="X4" s="2272"/>
      <c r="Y4" s="2272"/>
      <c r="Z4" s="2272"/>
      <c r="AA4" s="2272"/>
      <c r="AB4" s="2273"/>
      <c r="AC4" s="2271">
        <f>INDEX(PT_DIFFERENTIATION_CS,MATCH(C4,PT_DIFFERENTIATION_CS_ID,0))</f>
      </c>
      <c r="AD4" s="2272"/>
      <c r="AE4" s="2272"/>
      <c r="AF4" s="2272"/>
      <c r="AG4" s="2272"/>
      <c r="AH4" s="2272"/>
      <c r="AI4" s="2272"/>
      <c r="AJ4" s="2273"/>
      <c r="AK4" s="1260" t="s">
        <v>475</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78"/>
      <c r="F5" s="2278"/>
      <c r="G5" s="2278"/>
      <c r="H5" s="2278"/>
      <c r="I5" s="2279">
        <f>S4&amp;".1"</f>
      </c>
      <c r="J5" s="1365"/>
      <c r="K5" s="1365"/>
      <c r="L5" s="1366"/>
      <c r="P5" s="2281">
        <v>1</v>
      </c>
      <c r="Q5" s="1452"/>
      <c r="R5" s="358"/>
      <c r="S5" s="1459">
        <f>$I5</f>
      </c>
      <c r="T5" s="287" t="s">
        <v>476</v>
      </c>
      <c r="U5" s="302"/>
      <c r="V5" s="2375"/>
      <c r="W5" s="2376"/>
      <c r="X5" s="2376"/>
      <c r="Y5" s="2376"/>
      <c r="Z5" s="2376"/>
      <c r="AA5" s="2376"/>
      <c r="AB5" s="2377"/>
      <c r="AC5" s="2378"/>
      <c r="AD5" s="2379"/>
      <c r="AE5" s="2379"/>
      <c r="AF5" s="2379"/>
      <c r="AG5" s="2379"/>
      <c r="AH5" s="2379"/>
      <c r="AI5" s="2379"/>
      <c r="AJ5" s="2380"/>
      <c r="AK5" s="1260" t="s">
        <v>477</v>
      </c>
      <c r="AM5" s="502"/>
      <c r="AN5" s="502" t="str">
        <f>IF(T5="","",T5)</f>
        <v>Наименование признака дифференциации</v>
      </c>
      <c r="AO5" s="502"/>
      <c r="AP5" s="502"/>
      <c r="AQ5" s="1157">
        <v>0</v>
      </c>
    </row>
    <row customHeight="1" ht="23.25" hidden="1">
      <c r="A6" s="1365"/>
      <c r="B6" s="1365"/>
      <c r="C6" s="1365"/>
      <c r="D6" s="1365"/>
      <c r="E6" s="2278"/>
      <c r="F6" s="2278"/>
      <c r="G6" s="2278"/>
      <c r="H6" s="2278"/>
      <c r="I6" s="2280"/>
      <c r="J6" s="2279">
        <f>I5&amp;".1"</f>
      </c>
      <c r="K6" s="1365"/>
      <c r="L6" s="1366" t="s">
        <v>401</v>
      </c>
      <c r="P6" s="2281"/>
      <c r="Q6" s="2281">
        <v>1</v>
      </c>
      <c r="R6" s="359"/>
      <c r="S6" s="1459">
        <f>$J6</f>
      </c>
      <c r="T6" s="288" t="s">
        <v>402</v>
      </c>
      <c r="U6" s="302"/>
      <c r="V6" s="2265"/>
      <c r="W6" s="2266"/>
      <c r="X6" s="2266"/>
      <c r="Y6" s="2266"/>
      <c r="Z6" s="2266"/>
      <c r="AA6" s="2266"/>
      <c r="AB6" s="2267"/>
      <c r="AC6" s="2265"/>
      <c r="AD6" s="2266"/>
      <c r="AE6" s="2266"/>
      <c r="AF6" s="2266"/>
      <c r="AG6" s="2266"/>
      <c r="AH6" s="2266"/>
      <c r="AI6" s="2266"/>
      <c r="AJ6" s="2267"/>
      <c r="AK6" s="1309" t="s">
        <v>478</v>
      </c>
      <c r="AM6" s="502"/>
      <c r="AN6" s="502" t="str">
        <f>IF(T6="","",T6)</f>
        <v>Группа потребителей</v>
      </c>
      <c r="AO6" s="502"/>
      <c r="AP6" s="502"/>
      <c r="AQ6" s="1157">
        <v>0</v>
      </c>
    </row>
    <row customHeight="1" ht="23.25" hidden="1">
      <c r="A7" s="1365"/>
      <c r="B7" s="1365"/>
      <c r="C7" s="1365"/>
      <c r="D7" s="1365"/>
      <c r="E7" s="2278"/>
      <c r="F7" s="2278"/>
      <c r="G7" s="2278"/>
      <c r="H7" s="2278"/>
      <c r="I7" s="2280"/>
      <c r="J7" s="2280"/>
      <c r="K7" s="2279">
        <f>J6&amp;".1"</f>
      </c>
      <c r="L7" s="1366"/>
      <c r="P7" s="2281"/>
      <c r="Q7" s="2281"/>
      <c r="R7" s="359">
        <v>1</v>
      </c>
      <c r="S7" s="1459">
        <f>$K7</f>
      </c>
      <c r="T7" s="1439"/>
      <c r="U7" s="302"/>
      <c r="V7" s="753"/>
      <c r="W7" s="753"/>
      <c r="X7" s="1259"/>
      <c r="Y7" s="2282"/>
      <c r="Z7" s="2150" t="s">
        <v>65</v>
      </c>
      <c r="AA7" s="2282"/>
      <c r="AB7" s="2150" t="s">
        <v>65</v>
      </c>
      <c r="AC7" s="753"/>
      <c r="AD7" s="753"/>
      <c r="AE7" s="1259"/>
      <c r="AF7" s="2282"/>
      <c r="AG7" s="2150" t="s">
        <v>65</v>
      </c>
      <c r="AH7" s="2284"/>
      <c r="AI7" s="2150" t="s">
        <v>65</v>
      </c>
      <c r="AJ7" s="1440"/>
      <c r="AK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78"/>
      <c r="F8" s="2278"/>
      <c r="G8" s="2278"/>
      <c r="H8" s="2278"/>
      <c r="I8" s="2280"/>
      <c r="J8" s="2280"/>
      <c r="K8" s="2279"/>
      <c r="L8" s="1366"/>
      <c r="P8" s="2281"/>
      <c r="Q8" s="2281"/>
      <c r="R8" s="359"/>
      <c r="S8" s="1458"/>
      <c r="T8" s="302"/>
      <c r="U8" s="302"/>
      <c r="V8" s="327"/>
      <c r="W8" s="327"/>
      <c r="X8" s="330" t="str">
        <f>Y7&amp;"-"&amp;AA7</f>
        <v>-</v>
      </c>
      <c r="Y8" s="2283"/>
      <c r="Z8" s="2150"/>
      <c r="AA8" s="2283"/>
      <c r="AB8" s="2150"/>
      <c r="AC8" s="327"/>
      <c r="AD8" s="327"/>
      <c r="AE8" s="330" t="str">
        <f>AF7&amp;"-"&amp;AH7</f>
        <v>-</v>
      </c>
      <c r="AF8" s="2283"/>
      <c r="AG8" s="2150"/>
      <c r="AH8" s="2285"/>
      <c r="AI8" s="2150"/>
      <c r="AJ8" s="1441"/>
      <c r="AK8" s="2381"/>
      <c r="AM8" s="502"/>
      <c r="AN8" s="502" t="str">
        <f>IF(T8="","",T8)</f>
        <v/>
      </c>
      <c r="AO8" s="502"/>
      <c r="AP8" s="502"/>
      <c r="AQ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369"/>
      <c r="X9" s="369"/>
      <c r="Y9" s="369"/>
      <c r="Z9" s="369"/>
      <c r="AA9" s="369"/>
      <c r="AB9" s="369"/>
      <c r="AC9" s="369"/>
      <c r="AD9" s="369"/>
      <c r="AE9" s="369"/>
      <c r="AF9" s="369"/>
      <c r="AG9" s="369"/>
      <c r="AH9" s="369"/>
      <c r="AI9" s="369"/>
      <c r="AJ9" s="369"/>
      <c r="AK9" s="1260" t="s">
        <v>480</v>
      </c>
      <c r="AM9" s="502"/>
      <c r="AN9" s="502" t="str">
        <f>IF(T9="","",T9)</f>
        <v>Добавить значение признака дифференциации</v>
      </c>
      <c r="AO9" s="502"/>
      <c r="AP9" s="502"/>
      <c r="AQ9" s="1157">
        <v>0</v>
      </c>
    </row>
    <row customHeight="1" ht="21" hidden="1">
      <c r="A10" s="1365"/>
      <c r="B10" s="1365"/>
      <c r="C10" s="1365"/>
      <c r="D10" s="1365"/>
      <c r="E10" s="2278"/>
      <c r="F10" s="2278"/>
      <c r="G10" s="2278"/>
      <c r="H10" s="2278"/>
      <c r="I10" s="2279"/>
      <c r="J10" s="1365"/>
      <c r="K10" s="1365"/>
      <c r="L10" s="1366"/>
      <c r="P10" s="2281"/>
      <c r="Q10" s="1452"/>
      <c r="R10" s="358"/>
      <c r="S10" s="1280"/>
      <c r="T10" s="367" t="s">
        <v>407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78"/>
      <c r="F12" s="2277"/>
      <c r="G12" s="1316"/>
      <c r="H12" s="1316"/>
      <c r="I12" s="1316"/>
      <c r="J12" s="1316"/>
      <c r="K12" s="1316"/>
      <c r="L12" s="1460"/>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75"/>
      <c r="AG15" s="2274" t="s">
        <v>65</v>
      </c>
      <c r="AH15" s="2275"/>
      <c r="AI15" s="2274" t="s">
        <v>65</v>
      </c>
      <c r="AQ15" s="1157">
        <v>0</v>
      </c>
    </row>
    <row customHeight="1" ht="14.25" hidden="1">
      <c r="AC16" s="1362"/>
      <c r="AD16" s="1362"/>
      <c r="AE16" s="330" t="str">
        <f>AF15&amp;"-"&amp;AH15</f>
        <v>-</v>
      </c>
      <c r="AF16" s="2274"/>
      <c r="AG16" s="2274"/>
      <c r="AH16" s="2274"/>
      <c r="AI16" s="2274"/>
      <c r="AQ16" s="1157">
        <v>0</v>
      </c>
    </row>
    <row customHeight="1" ht="14.25" hidden="1">
      <c r="AI17" s="329"/>
      <c r="AQ17" s="1157">
        <v>0</v>
      </c>
    </row>
    <row s="1368" customFormat="1" customHeight="1" ht="22.5" hidden="1">
      <c r="L18" s="1449"/>
      <c r="M18" s="1364"/>
      <c r="N18" s="1364"/>
      <c r="O18" s="1369" t="s">
        <v>412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413</v>
      </c>
      <c r="P20" s="1364"/>
      <c r="Q20" s="1444"/>
      <c r="R20" s="1444"/>
      <c r="S20" s="731"/>
      <c r="T20" s="1162" t="s">
        <v>414</v>
      </c>
      <c r="Z20" s="188" t="s">
        <v>415</v>
      </c>
      <c r="AB20" s="188" t="s">
        <v>416</v>
      </c>
      <c r="AC20" s="1162" t="s">
        <v>414</v>
      </c>
      <c r="AG20" s="188" t="s">
        <v>417</v>
      </c>
      <c r="AI20" s="188" t="s">
        <v>416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3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0"/>
      <c r="U24" s="2310"/>
      <c r="V24" s="2310"/>
      <c r="W24" s="2310"/>
      <c r="X24" s="2310"/>
      <c r="Y24" s="2310"/>
      <c r="Z24" s="2310"/>
      <c r="AA24" s="2310"/>
      <c r="AB24" s="2310"/>
      <c r="AC24" s="2310"/>
      <c r="AD24" s="2310"/>
      <c r="AE24" s="2310"/>
      <c r="AF24" s="2310"/>
      <c r="AG24" s="2310"/>
      <c r="AH24" s="2310"/>
      <c r="AI24" s="1245"/>
      <c r="AQ24" s="1157">
        <v>14</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328"/>
      <c r="AC27" s="2270" t="str">
        <f>IF(TITLE_NAME_OR_PR_CHANGE="",IF(TITLE_NAME_OR_PR="","",TITLE_NAME_OR_PR),TITLE_NAME_OR_PR_CHANGE)</f>
        <v/>
      </c>
      <c r="AD27" s="2270"/>
      <c r="AE27" s="2270"/>
      <c r="AF27" s="2270"/>
      <c r="AG27" s="2270"/>
      <c r="AH27" s="2270"/>
      <c r="AI27" s="328"/>
      <c r="AJ27" s="328"/>
      <c r="AK27" s="282"/>
      <c r="AL27" s="370"/>
      <c r="AM27" s="370"/>
      <c r="AN27" s="370"/>
      <c r="AO27" s="370"/>
      <c r="AP27" s="370"/>
      <c r="AQ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328"/>
      <c r="AC28" s="2269" t="str">
        <f>IF(TITLE_DATE_PR_CHANGE="",IF(TITLE_DATE_PR="","",TITLE_DATE_PR),TITLE_DATE_PR_CHANGE)</f>
        <v/>
      </c>
      <c r="AD28" s="2269"/>
      <c r="AE28" s="2269"/>
      <c r="AF28" s="2269"/>
      <c r="AG28" s="2269"/>
      <c r="AH28" s="2269"/>
      <c r="AI28" s="328"/>
      <c r="AJ28" s="328"/>
      <c r="AK28" s="282"/>
      <c r="AL28" s="370"/>
      <c r="AM28" s="370"/>
      <c r="AN28" s="370"/>
      <c r="AO28" s="370"/>
      <c r="AP28" s="370"/>
      <c r="AQ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328"/>
      <c r="AC29" s="2270" t="str">
        <f>IF(TITLE_NUMBER_PR_CHANGE="",IF(TITLE_NUMBER_PR="","",TITLE_NUMBER_PR),TITLE_NUMBER_PR_CHANGE)</f>
        <v/>
      </c>
      <c r="AD29" s="2270"/>
      <c r="AE29" s="2270"/>
      <c r="AF29" s="2270"/>
      <c r="AG29" s="2270"/>
      <c r="AH29" s="2270"/>
      <c r="AI29" s="328"/>
      <c r="AJ29" s="328"/>
      <c r="AK29" s="282"/>
      <c r="AL29" s="370"/>
      <c r="AM29" s="370"/>
      <c r="AN29" s="370"/>
      <c r="AO29" s="370"/>
      <c r="AP29" s="370"/>
      <c r="AQ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328"/>
      <c r="AC30" s="2270" t="str">
        <f>IF(TITLE_IST_PUB_CHANGE="",IF(TITLE_IST_PUB="","",TITLE_IST_PUB),TITLE_IST_PUB_CHANGE)</f>
        <v/>
      </c>
      <c r="AD30" s="2270"/>
      <c r="AE30" s="2270"/>
      <c r="AF30" s="2270"/>
      <c r="AG30" s="2270"/>
      <c r="AH30" s="2270"/>
      <c r="AI30" s="328"/>
      <c r="AJ30" s="328"/>
      <c r="AK30" s="282"/>
      <c r="AL30" s="370"/>
      <c r="AM30" s="370"/>
      <c r="AN30" s="370"/>
      <c r="AO30" s="370"/>
      <c r="AP30" s="370"/>
      <c r="AQ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511"/>
      <c r="AQ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328"/>
      <c r="AC32" s="2269" t="str">
        <f>IF(TITLE_DATE_PR_CHANGE="",IF(TITLE_DATE_PR="","",TITLE_DATE_PR),TITLE_DATE_PR_CHANGE)</f>
        <v/>
      </c>
      <c r="AD32" s="2269"/>
      <c r="AE32" s="2269"/>
      <c r="AF32" s="2269"/>
      <c r="AG32" s="2269"/>
      <c r="AH32" s="2269"/>
      <c r="AI32" s="328"/>
      <c r="AJ32" s="328"/>
      <c r="AK32" s="282"/>
      <c r="AL32" s="370"/>
      <c r="AM32" s="370"/>
      <c r="AN32" s="370"/>
      <c r="AO32" s="370"/>
      <c r="AP32" s="370"/>
      <c r="AQ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328"/>
      <c r="AC33" s="2270" t="str">
        <f>IF(TITLE_NUMBER_PR_CHANGE="",IF(TITLE_NUMBER_PR="","",TITLE_NUMBER_PR),TITLE_NUMBER_PR_CHANGE)</f>
        <v/>
      </c>
      <c r="AD33" s="2270"/>
      <c r="AE33" s="2270"/>
      <c r="AF33" s="2270"/>
      <c r="AG33" s="2270"/>
      <c r="AH33" s="2270"/>
      <c r="AI33" s="328"/>
      <c r="AJ33" s="328"/>
      <c r="AK33" s="282"/>
      <c r="AL33" s="370"/>
      <c r="AM33" s="370"/>
      <c r="AN33" s="370"/>
      <c r="AO33" s="370"/>
      <c r="AP33" s="370"/>
      <c r="AQ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418</v>
      </c>
      <c r="AC34" s="328"/>
      <c r="AD34" s="328"/>
      <c r="AE34" s="328"/>
      <c r="AF34" s="328"/>
      <c r="AG34" s="328"/>
      <c r="AH34" s="328"/>
      <c r="AI34" s="280" t="s">
        <v>418</v>
      </c>
      <c r="AL34" s="370"/>
      <c r="AM34" s="370"/>
      <c r="AN34" s="370"/>
      <c r="AO34" s="370"/>
      <c r="AP34" s="370"/>
      <c r="AQ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Q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t="s">
        <v>296</v>
      </c>
      <c r="AQ36" s="1157">
        <v>14</v>
      </c>
    </row>
    <row customHeight="1" ht="14.699999999999998">
      <c r="Q37" s="378"/>
      <c r="R37" s="378"/>
      <c r="S37" s="2295" t="s">
        <v>88</v>
      </c>
      <c r="T37" s="2232" t="s">
        <v>419</v>
      </c>
      <c r="U37" s="303"/>
      <c r="V37" s="2296" t="s">
        <v>420</v>
      </c>
      <c r="W37" s="2297"/>
      <c r="X37" s="2297"/>
      <c r="Y37" s="2297"/>
      <c r="Z37" s="2297"/>
      <c r="AA37" s="2298"/>
      <c r="AB37" s="2299" t="s">
        <v>421</v>
      </c>
      <c r="AC37" s="2296" t="s">
        <v>420</v>
      </c>
      <c r="AD37" s="2297"/>
      <c r="AE37" s="2297"/>
      <c r="AF37" s="2297"/>
      <c r="AG37" s="2297"/>
      <c r="AH37" s="2298"/>
      <c r="AI37" s="2299" t="s">
        <v>422</v>
      </c>
      <c r="AJ37" s="2302" t="s">
        <v>423</v>
      </c>
      <c r="AK37" s="2140"/>
      <c r="AQ37" s="1157">
        <v>14</v>
      </c>
    </row>
    <row customHeight="1" ht="35.699999999999996">
      <c r="Q38" s="378"/>
      <c r="R38" s="378"/>
      <c r="S38" s="2295"/>
      <c r="T38" s="2232"/>
      <c r="U38" s="1033"/>
      <c r="V38" s="1454" t="s">
        <v>482</v>
      </c>
      <c r="W38" s="2288" t="s">
        <v>426</v>
      </c>
      <c r="X38" s="2290"/>
      <c r="Y38" s="2288" t="s">
        <v>427</v>
      </c>
      <c r="Z38" s="2289"/>
      <c r="AA38" s="2290"/>
      <c r="AB38" s="2300"/>
      <c r="AC38" s="1454" t="s">
        <v>482</v>
      </c>
      <c r="AD38" s="2288" t="s">
        <v>426</v>
      </c>
      <c r="AE38" s="2290"/>
      <c r="AF38" s="2288" t="s">
        <v>427</v>
      </c>
      <c r="AG38" s="2289"/>
      <c r="AH38" s="2290"/>
      <c r="AI38" s="2300"/>
      <c r="AJ38" s="2303"/>
      <c r="AK38" s="2140"/>
      <c r="AQ38" s="1157">
        <v>34</v>
      </c>
    </row>
    <row customHeight="1" ht="35.699999999999996">
      <c r="A39" s="1372"/>
      <c r="B39" s="1372" t="s">
        <v>132</v>
      </c>
      <c r="C39" s="1372" t="s">
        <v>133</v>
      </c>
      <c r="D39" s="1372" t="s">
        <v>134</v>
      </c>
      <c r="E39" s="1366" t="s">
        <v>428</v>
      </c>
      <c r="F39" s="1366" t="s">
        <v>429</v>
      </c>
      <c r="G39" s="1366" t="s">
        <v>430</v>
      </c>
      <c r="H39" s="1366"/>
      <c r="I39" s="1366" t="s">
        <v>483</v>
      </c>
      <c r="J39" s="1366" t="s">
        <v>433</v>
      </c>
      <c r="K39" s="1366" t="s">
        <v>484</v>
      </c>
      <c r="L39" s="1366" t="s">
        <v>413</v>
      </c>
      <c r="Q39" s="378"/>
      <c r="R39" s="378"/>
      <c r="S39" s="2295"/>
      <c r="T39" s="2232"/>
      <c r="U39" s="304"/>
      <c r="V39" s="1454" t="s">
        <v>485</v>
      </c>
      <c r="W39" s="1224" t="s">
        <v>486</v>
      </c>
      <c r="X39" s="1224" t="s">
        <v>487</v>
      </c>
      <c r="Y39" s="1457" t="s">
        <v>437</v>
      </c>
      <c r="Z39" s="2291" t="s">
        <v>438</v>
      </c>
      <c r="AA39" s="2292"/>
      <c r="AB39" s="2301"/>
      <c r="AC39" s="1454" t="s">
        <v>485</v>
      </c>
      <c r="AD39" s="1224" t="s">
        <v>486</v>
      </c>
      <c r="AE39" s="1224" t="s">
        <v>487</v>
      </c>
      <c r="AF39" s="1457" t="s">
        <v>437</v>
      </c>
      <c r="AG39" s="2291" t="s">
        <v>438</v>
      </c>
      <c r="AH39" s="2292"/>
      <c r="AI39" s="2301"/>
      <c r="AJ39" s="2304"/>
      <c r="AK39" s="2140"/>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106</v>
      </c>
      <c r="T40" s="1257" t="s">
        <v>107</v>
      </c>
      <c r="U40" s="1247" t="str">
        <f>OFFSET(U40,0,-1)</f>
        <v>2</v>
      </c>
      <c r="V40" s="1453">
        <f>OFFSET(V40,0,-1)+1</f>
        <v>3</v>
      </c>
      <c r="W40" s="1453">
        <f>OFFSET(W40,0,-1)+1</f>
        <v>4</v>
      </c>
      <c r="X40" s="1453">
        <f>OFFSET(X40,0,-1)+1</f>
        <v>5</v>
      </c>
      <c r="Y40" s="1453">
        <f>OFFSET(Y40,0,-1)+1</f>
        <v>6</v>
      </c>
      <c r="Z40" s="2293">
        <f>OFFSET(Z40,0,-1)+1</f>
        <v>7</v>
      </c>
      <c r="AA40" s="2293"/>
      <c r="AB40" s="1453">
        <f>OFFSET(AB40,0,-2)+1</f>
        <v>8</v>
      </c>
      <c r="AC40" s="1453">
        <f>OFFSET(AC40,0,-1)+1</f>
        <v>9</v>
      </c>
      <c r="AD40" s="1453">
        <f>OFFSET(AD40,0,-1)+1</f>
        <v>10</v>
      </c>
      <c r="AE40" s="1453">
        <f>OFFSET(AE40,0,-1)+1</f>
        <v>11</v>
      </c>
      <c r="AF40" s="1453">
        <f>OFFSET(AF40,0,-1)+1</f>
        <v>12</v>
      </c>
      <c r="AG40" s="2293">
        <f>OFFSET(AG40,0,-1)+1</f>
        <v>13</v>
      </c>
      <c r="AH40" s="2293"/>
      <c r="AI40" s="1453">
        <f>OFFSET(AI40,0,-2)+1</f>
        <v>14</v>
      </c>
      <c r="AJ40" s="1247">
        <f>OFFSET(AJ40,0,-1)</f>
        <v>14</v>
      </c>
      <c r="AK40" s="1453">
        <f>OFFSET(AK40,0,-1)+1</f>
        <v>15</v>
      </c>
      <c r="AL40" s="513"/>
      <c r="AM40" s="513"/>
      <c r="AN40" s="513"/>
      <c r="AO40" s="513"/>
      <c r="AP40" s="513"/>
      <c r="AQ40" s="498">
        <v>0</v>
      </c>
    </row>
    <row customHeight="1" ht="24">
      <c r="A41" s="1365" t="s">
        <v>231</v>
      </c>
      <c r="B41" s="1365"/>
      <c r="C41" s="1365"/>
      <c r="D41" s="1365"/>
      <c r="E41" s="2277">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120</v>
      </c>
      <c r="U41" s="302"/>
      <c r="V41" s="2271"/>
      <c r="W41" s="2272"/>
      <c r="X41" s="2272"/>
      <c r="Y41" s="2272"/>
      <c r="Z41" s="2272"/>
      <c r="AA41" s="2272"/>
      <c r="AB41" s="2273"/>
      <c r="AC41" s="2271" t="str">
        <f>INDEX(PT_DIFFERENTIATION_NTAR,MATCH(A41,PT_DIFFERENTIATION_NTAR_ID,0))</f>
        <v/>
      </c>
      <c r="AD41" s="2272"/>
      <c r="AE41" s="2272"/>
      <c r="AF41" s="2272"/>
      <c r="AG41" s="2272"/>
      <c r="AH41" s="2272"/>
      <c r="AI41" s="2272"/>
      <c r="AJ41" s="2273"/>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231</v>
      </c>
      <c r="B42" s="1365" t="s">
        <v>232</v>
      </c>
      <c r="C42" s="1365"/>
      <c r="D42" s="1365"/>
      <c r="E42" s="2278"/>
      <c r="F42" s="2277">
        <v>1</v>
      </c>
      <c r="G42" s="1365"/>
      <c r="H42" s="1365"/>
      <c r="I42" s="1365"/>
      <c r="J42" s="1365"/>
      <c r="K42" s="1365"/>
      <c r="L42" s="1366"/>
      <c r="M42" s="1367"/>
      <c r="N42" s="1367"/>
      <c r="O42" s="1367"/>
      <c r="P42" s="1455"/>
      <c r="Q42" s="354"/>
      <c r="R42" s="355"/>
      <c r="S42" s="1459" t="str">
        <f>INDEX(PT_DIFFERENTIATION_NUM_TER,MATCH(B42,PT_DIFFERENTIATION_TER_ID,0))</f>
        <v>.</v>
      </c>
      <c r="T42" s="310" t="s">
        <v>392</v>
      </c>
      <c r="U42" s="302"/>
      <c r="V42" s="2271"/>
      <c r="W42" s="2272"/>
      <c r="X42" s="2272"/>
      <c r="Y42" s="2272"/>
      <c r="Z42" s="2272"/>
      <c r="AA42" s="2272"/>
      <c r="AB42" s="2273"/>
      <c r="AC42" s="2271" t="str">
        <f>INDEX(PT_DIFFERENTIATION_TER,MATCH(B42,PT_DIFFERENTIATION_TER_ID,0))</f>
        <v/>
      </c>
      <c r="AD42" s="2272"/>
      <c r="AE42" s="2272"/>
      <c r="AF42" s="2272"/>
      <c r="AG42" s="2272"/>
      <c r="AH42" s="2272"/>
      <c r="AI42" s="2272"/>
      <c r="AJ42" s="2273"/>
      <c r="AK42" s="1260" t="s">
        <v>393</v>
      </c>
      <c r="AM42" s="502"/>
      <c r="AN42" s="502" t="str">
        <f>IF(T42="","",T42)</f>
        <v>Территория действия тарифа</v>
      </c>
      <c r="AO42" s="502"/>
      <c r="AP42" s="502"/>
      <c r="AQ42" s="1157">
        <v>23</v>
      </c>
    </row>
    <row customHeight="1" ht="24">
      <c r="A43" s="1365" t="s">
        <v>231</v>
      </c>
      <c r="B43" s="1365" t="s">
        <v>232</v>
      </c>
      <c r="C43" s="1365" t="s">
        <v>233</v>
      </c>
      <c r="D43" s="1365"/>
      <c r="E43" s="2278"/>
      <c r="F43" s="2278"/>
      <c r="G43" s="2277">
        <v>1</v>
      </c>
      <c r="H43" s="1365"/>
      <c r="I43" s="1365"/>
      <c r="J43" s="1365"/>
      <c r="K43" s="1365"/>
      <c r="L43" s="1366"/>
      <c r="M43" s="1367"/>
      <c r="N43" s="1367"/>
      <c r="O43" s="1367"/>
      <c r="P43" s="356"/>
      <c r="Q43" s="354"/>
      <c r="R43" s="355"/>
      <c r="S43" s="1459" t="str">
        <f>INDEX(PT_DIFFERENTIATION_NUM_CS,MATCH(C43,PT_DIFFERENTIATION_CS_ID,0))</f>
        <v>..</v>
      </c>
      <c r="T43" s="311" t="s">
        <v>474</v>
      </c>
      <c r="U43" s="302"/>
      <c r="V43" s="2271"/>
      <c r="W43" s="2272"/>
      <c r="X43" s="2272"/>
      <c r="Y43" s="2272"/>
      <c r="Z43" s="2272"/>
      <c r="AA43" s="2272"/>
      <c r="AB43" s="2273"/>
      <c r="AC43" s="2271" t="str">
        <f>INDEX(PT_DIFFERENTIATION_CS,MATCH(C43,PT_DIFFERENTIATION_CS_ID,0))</f>
        <v/>
      </c>
      <c r="AD43" s="2272"/>
      <c r="AE43" s="2272"/>
      <c r="AF43" s="2272"/>
      <c r="AG43" s="2272"/>
      <c r="AH43" s="2272"/>
      <c r="AI43" s="2272"/>
      <c r="AJ43" s="2273"/>
      <c r="AK43" s="1260" t="s">
        <v>475</v>
      </c>
      <c r="AM43" s="502"/>
      <c r="AN43" s="502" t="str">
        <f>IF(T43="","",T43)</f>
        <v>Наименование централизованной системы холодного водоснабжения</v>
      </c>
      <c r="AO43" s="502"/>
      <c r="AP43" s="502"/>
      <c r="AQ43" s="1157">
        <v>23</v>
      </c>
    </row>
    <row customHeight="1" ht="24">
      <c r="A44" s="1365" t="s">
        <v>231</v>
      </c>
      <c r="B44" s="1365" t="s">
        <v>232</v>
      </c>
      <c r="C44" s="1365" t="s">
        <v>233</v>
      </c>
      <c r="D44" s="1365" t="s">
        <v>490</v>
      </c>
      <c r="E44" s="2278"/>
      <c r="F44" s="2278"/>
      <c r="G44" s="2278"/>
      <c r="H44" s="2278"/>
      <c r="I44" s="2279" t="str">
        <f>S43&amp;".1"</f>
        <v>...1</v>
      </c>
      <c r="J44" s="1365"/>
      <c r="K44" s="1365"/>
      <c r="L44" s="1366"/>
      <c r="P44" s="2281">
        <v>1</v>
      </c>
      <c r="Q44" s="1452"/>
      <c r="R44" s="358"/>
      <c r="S44" s="1459" t="str">
        <f>$I44</f>
        <v>...1</v>
      </c>
      <c r="T44" s="287" t="s">
        <v>476</v>
      </c>
      <c r="U44" s="302"/>
      <c r="V44" s="2375"/>
      <c r="W44" s="2376"/>
      <c r="X44" s="2376"/>
      <c r="Y44" s="2376"/>
      <c r="Z44" s="2376"/>
      <c r="AA44" s="2376"/>
      <c r="AB44" s="2377"/>
      <c r="AC44" s="2378"/>
      <c r="AD44" s="2379"/>
      <c r="AE44" s="2379"/>
      <c r="AF44" s="2379"/>
      <c r="AG44" s="2379"/>
      <c r="AH44" s="2379"/>
      <c r="AI44" s="2379"/>
      <c r="AJ44" s="2380"/>
      <c r="AK44" s="1260" t="s">
        <v>477</v>
      </c>
      <c r="AM44" s="502"/>
      <c r="AN44" s="502" t="str">
        <f>IF(T44="","",T44)</f>
        <v>Наименование признака дифференциации</v>
      </c>
      <c r="AO44" s="502"/>
      <c r="AP44" s="502"/>
      <c r="AQ44" s="1157">
        <v>23</v>
      </c>
    </row>
    <row customHeight="1" ht="24">
      <c r="A45" s="1365" t="s">
        <v>231</v>
      </c>
      <c r="B45" s="1365" t="s">
        <v>232</v>
      </c>
      <c r="C45" s="1365" t="s">
        <v>233</v>
      </c>
      <c r="D45" s="1365" t="s">
        <v>490</v>
      </c>
      <c r="E45" s="2278"/>
      <c r="F45" s="2278"/>
      <c r="G45" s="2278"/>
      <c r="H45" s="2278"/>
      <c r="I45" s="2280"/>
      <c r="J45" s="2279" t="str">
        <f>I44&amp;".1"</f>
        <v>...1.1</v>
      </c>
      <c r="K45" s="1365"/>
      <c r="L45" s="1366" t="s">
        <v>401</v>
      </c>
      <c r="P45" s="2281"/>
      <c r="Q45" s="2281">
        <v>1</v>
      </c>
      <c r="R45" s="359"/>
      <c r="S45" s="1459" t="str">
        <f>$J45</f>
        <v>...1.1</v>
      </c>
      <c r="T45" s="288" t="s">
        <v>402</v>
      </c>
      <c r="U45" s="302"/>
      <c r="V45" s="2265"/>
      <c r="W45" s="2266"/>
      <c r="X45" s="2266"/>
      <c r="Y45" s="2266"/>
      <c r="Z45" s="2266"/>
      <c r="AA45" s="2266"/>
      <c r="AB45" s="2267"/>
      <c r="AC45" s="2265"/>
      <c r="AD45" s="2266"/>
      <c r="AE45" s="2266"/>
      <c r="AF45" s="2266"/>
      <c r="AG45" s="2266"/>
      <c r="AH45" s="2266"/>
      <c r="AI45" s="2266"/>
      <c r="AJ45" s="2267"/>
      <c r="AK45" s="1309" t="s">
        <v>478</v>
      </c>
      <c r="AM45" s="502"/>
      <c r="AN45" s="502" t="str">
        <f>IF(T45="","",T45)</f>
        <v>Группа потребителей</v>
      </c>
      <c r="AO45" s="502"/>
      <c r="AP45" s="502"/>
      <c r="AQ45" s="1157">
        <v>23</v>
      </c>
    </row>
    <row customHeight="1" ht="24">
      <c r="A46" s="1365" t="s">
        <v>231</v>
      </c>
      <c r="B46" s="1365" t="s">
        <v>232</v>
      </c>
      <c r="C46" s="1365" t="s">
        <v>233</v>
      </c>
      <c r="D46" s="1365" t="s">
        <v>490</v>
      </c>
      <c r="E46" s="2278"/>
      <c r="F46" s="2278"/>
      <c r="G46" s="2278"/>
      <c r="H46" s="2278"/>
      <c r="I46" s="2280"/>
      <c r="J46" s="2280"/>
      <c r="K46" s="2279" t="str">
        <f>J45&amp;".1"</f>
        <v>...1.1.1</v>
      </c>
      <c r="L46" s="1366"/>
      <c r="P46" s="2281"/>
      <c r="Q46" s="2281"/>
      <c r="R46" s="359">
        <v>1</v>
      </c>
      <c r="S46" s="1459" t="str">
        <f>$K46</f>
        <v>...1.1.1</v>
      </c>
      <c r="T46" s="1439"/>
      <c r="U46" s="302"/>
      <c r="V46" s="753"/>
      <c r="W46" s="753"/>
      <c r="X46" s="1259"/>
      <c r="Y46" s="2282"/>
      <c r="Z46" s="2150" t="s">
        <v>65</v>
      </c>
      <c r="AA46" s="2282"/>
      <c r="AB46" s="2150" t="s">
        <v>65</v>
      </c>
      <c r="AC46" s="753"/>
      <c r="AD46" s="753"/>
      <c r="AE46" s="1259"/>
      <c r="AF46" s="2282"/>
      <c r="AG46" s="2150" t="s">
        <v>65</v>
      </c>
      <c r="AH46" s="2284"/>
      <c r="AI46" s="2150" t="s">
        <v>65</v>
      </c>
      <c r="AJ46" s="1440"/>
      <c r="AK46"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231</v>
      </c>
      <c r="B47" s="1365" t="s">
        <v>232</v>
      </c>
      <c r="C47" s="1365" t="s">
        <v>233</v>
      </c>
      <c r="D47" s="1365" t="s">
        <v>490</v>
      </c>
      <c r="E47" s="2278"/>
      <c r="F47" s="2278"/>
      <c r="G47" s="2278"/>
      <c r="H47" s="2278"/>
      <c r="I47" s="2280"/>
      <c r="J47" s="2280"/>
      <c r="K47" s="2279"/>
      <c r="L47" s="1366"/>
      <c r="P47" s="2281"/>
      <c r="Q47" s="2281"/>
      <c r="R47" s="359"/>
      <c r="S47" s="1458"/>
      <c r="T47" s="302"/>
      <c r="U47" s="302"/>
      <c r="V47" s="327"/>
      <c r="W47" s="327"/>
      <c r="X47" s="330" t="str">
        <f>Y46&amp;"-"&amp;AA46</f>
        <v>-</v>
      </c>
      <c r="Y47" s="2283"/>
      <c r="Z47" s="2150"/>
      <c r="AA47" s="2283"/>
      <c r="AB47" s="2150"/>
      <c r="AC47" s="327"/>
      <c r="AD47" s="327"/>
      <c r="AE47" s="330" t="str">
        <f>AF46&amp;"-"&amp;AH46</f>
        <v>-</v>
      </c>
      <c r="AF47" s="2283"/>
      <c r="AG47" s="2150"/>
      <c r="AH47" s="2285"/>
      <c r="AI47" s="2150"/>
      <c r="AJ47" s="1441"/>
      <c r="AK47" s="2381"/>
      <c r="AM47" s="502"/>
      <c r="AN47" s="502" t="str">
        <f>IF(T47="","",T47)</f>
        <v/>
      </c>
      <c r="AO47" s="502"/>
      <c r="AP47" s="502"/>
      <c r="AQ47" s="1157">
        <v>0</v>
      </c>
    </row>
    <row customHeight="1" ht="21">
      <c r="A48" s="1365" t="s">
        <v>231</v>
      </c>
      <c r="B48" s="1365" t="s">
        <v>232</v>
      </c>
      <c r="C48" s="1365" t="s">
        <v>233</v>
      </c>
      <c r="D48" s="1365" t="s">
        <v>490</v>
      </c>
      <c r="E48" s="2278"/>
      <c r="F48" s="2278"/>
      <c r="G48" s="2278"/>
      <c r="H48" s="2278"/>
      <c r="I48" s="2280"/>
      <c r="J48" s="2279"/>
      <c r="K48" s="1365"/>
      <c r="L48" s="1366"/>
      <c r="P48" s="2281"/>
      <c r="Q48" s="2281"/>
      <c r="R48" s="358"/>
      <c r="S48" s="1280"/>
      <c r="T48" s="289" t="s">
        <v>479</v>
      </c>
      <c r="U48" s="369"/>
      <c r="V48" s="369"/>
      <c r="W48" s="369"/>
      <c r="X48" s="369"/>
      <c r="Y48" s="369"/>
      <c r="Z48" s="369"/>
      <c r="AA48" s="369"/>
      <c r="AB48" s="369"/>
      <c r="AC48" s="369"/>
      <c r="AD48" s="369"/>
      <c r="AE48" s="369"/>
      <c r="AF48" s="369"/>
      <c r="AG48" s="369"/>
      <c r="AH48" s="369"/>
      <c r="AI48" s="369"/>
      <c r="AJ48" s="369"/>
      <c r="AK48" s="1260" t="s">
        <v>480</v>
      </c>
      <c r="AM48" s="502"/>
      <c r="AN48" s="502" t="str">
        <f>IF(T48="","",T48)</f>
        <v>Добавить значение признака дифференциации</v>
      </c>
      <c r="AO48" s="502"/>
      <c r="AP48" s="502"/>
      <c r="AQ48" s="1157">
        <v>20</v>
      </c>
    </row>
    <row customHeight="1" ht="22.049999999999997">
      <c r="A49" s="1365" t="s">
        <v>231</v>
      </c>
      <c r="B49" s="1365" t="s">
        <v>232</v>
      </c>
      <c r="C49" s="1365" t="s">
        <v>233</v>
      </c>
      <c r="D49" s="1365" t="s">
        <v>490</v>
      </c>
      <c r="E49" s="2278"/>
      <c r="F49" s="2278"/>
      <c r="G49" s="2278"/>
      <c r="H49" s="2278"/>
      <c r="I49" s="2279"/>
      <c r="J49" s="1365"/>
      <c r="K49" s="1365"/>
      <c r="L49" s="1366"/>
      <c r="P49" s="2281"/>
      <c r="Q49" s="1452"/>
      <c r="R49" s="358"/>
      <c r="S49" s="1280"/>
      <c r="T49" s="367" t="s">
        <v>407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231</v>
      </c>
      <c r="B50" s="1365" t="s">
        <v>232</v>
      </c>
      <c r="C50" s="1365" t="s">
        <v>233</v>
      </c>
      <c r="D50" s="1365" t="s">
        <v>490</v>
      </c>
      <c r="E50" s="2278"/>
      <c r="F50" s="2278"/>
      <c r="G50" s="2278"/>
      <c r="H50" s="2277"/>
      <c r="I50" s="1365"/>
      <c r="J50" s="1365"/>
      <c r="K50" s="1365"/>
      <c r="L50" s="1366"/>
      <c r="M50" s="1367"/>
      <c r="N50" s="1367"/>
      <c r="O50" s="539"/>
      <c r="P50" s="362"/>
      <c r="Q50" s="377"/>
      <c r="R50" s="357"/>
      <c r="S50" s="1280"/>
      <c r="T50" s="374" t="s">
        <v>481</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231</v>
      </c>
      <c r="B51" s="1345" t="s">
        <v>232</v>
      </c>
      <c r="C51" s="1316"/>
      <c r="D51" s="1316"/>
      <c r="E51" s="2278"/>
      <c r="F51" s="2277"/>
      <c r="G51" s="1316"/>
      <c r="H51" s="1316"/>
      <c r="I51" s="1316"/>
      <c r="J51" s="1316"/>
      <c r="K51" s="1316"/>
      <c r="L51" s="1460"/>
      <c r="M51" s="1323"/>
      <c r="N51" s="1323"/>
      <c r="P51" s="1318"/>
      <c r="Q51" s="1319"/>
      <c r="R51" s="1318"/>
      <c r="S51" s="1324"/>
      <c r="T51" s="1327" t="s">
        <v>410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231</v>
      </c>
      <c r="B52" s="1345"/>
      <c r="C52" s="1345"/>
      <c r="D52" s="1345"/>
      <c r="E52" s="2277"/>
      <c r="F52" s="1345"/>
      <c r="G52" s="1345"/>
      <c r="H52" s="1345"/>
      <c r="I52" s="1345"/>
      <c r="J52" s="1345"/>
      <c r="K52" s="1345"/>
      <c r="L52" s="1348"/>
      <c r="M52" s="1323"/>
      <c r="N52" s="1323"/>
      <c r="O52" s="520"/>
      <c r="P52" s="382"/>
      <c r="Q52" s="1346"/>
      <c r="R52" s="382"/>
      <c r="S52" s="1324"/>
      <c r="T52" s="1327" t="s">
        <v>411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439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76"/>
      <c r="U55" s="2276"/>
      <c r="V55" s="2276"/>
      <c r="W55" s="2276"/>
      <c r="X55" s="2276"/>
      <c r="Y55" s="2276"/>
      <c r="Z55" s="2276"/>
      <c r="AA55" s="2276"/>
      <c r="AB55" s="2276"/>
      <c r="AC55" s="2276"/>
      <c r="AD55" s="2276"/>
      <c r="AE55" s="2276"/>
      <c r="AF55" s="2276"/>
      <c r="AG55" s="2276"/>
      <c r="AH55" s="2276"/>
      <c r="AI55" s="2276"/>
      <c r="AJ55" s="2276"/>
      <c r="AK55" s="2276"/>
      <c r="AQ55" s="1157">
        <v>14</v>
      </c>
    </row>
    <row customHeight="1" ht="14.699999999999998">
      <c r="O56" s="539"/>
      <c r="AQ56" s="1157">
        <v>14</v>
      </c>
    </row>
    <row customHeight="1" ht="14.699999999999998">
      <c r="O57" s="539"/>
      <c r="S57" s="1255"/>
      <c r="T57" s="2276"/>
      <c r="U57" s="2276"/>
      <c r="V57" s="2276"/>
      <c r="W57" s="2276"/>
      <c r="X57" s="2276"/>
      <c r="Y57" s="2276"/>
      <c r="Z57" s="2276"/>
      <c r="AA57" s="2276"/>
      <c r="AB57" s="2276"/>
      <c r="AC57" s="2276"/>
      <c r="AD57" s="2276"/>
      <c r="AE57" s="2276"/>
      <c r="AF57" s="2276"/>
      <c r="AG57" s="2276"/>
      <c r="AH57" s="2276"/>
      <c r="AI57" s="2276"/>
      <c r="AJ57" s="2276"/>
      <c r="AK57" s="2276"/>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5F066D-E0A8-89E2-DB38-D86C8694DAD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59">
        <f>INDEX(PT_DIFFERENTIATION_NUM_NTAR,MATCH(A2,PT_DIFFERENTIATION_NTAR_ID,0))</f>
      </c>
      <c r="T2" s="300" t="s">
        <v>120</v>
      </c>
      <c r="U2" s="302"/>
      <c r="V2" s="2271"/>
      <c r="W2" s="2272"/>
      <c r="X2" s="2272"/>
      <c r="Y2" s="2272"/>
      <c r="Z2" s="2272"/>
      <c r="AA2" s="2272"/>
      <c r="AB2" s="2273"/>
      <c r="AC2" s="2271">
        <f>INDEX(PT_DIFFERENTIATION_NTAR,MATCH(A2,PT_DIFFERENTIATION_NTAR_ID,0))</f>
      </c>
      <c r="AD2" s="2272"/>
      <c r="AE2" s="2272"/>
      <c r="AF2" s="2272"/>
      <c r="AG2" s="2272"/>
      <c r="AH2" s="2272"/>
      <c r="AI2" s="2272"/>
      <c r="AJ2" s="2273"/>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78"/>
      <c r="F3" s="2277">
        <v>1</v>
      </c>
      <c r="G3" s="1365"/>
      <c r="H3" s="1365"/>
      <c r="I3" s="1365"/>
      <c r="J3" s="1365"/>
      <c r="K3" s="1365"/>
      <c r="L3" s="1366"/>
      <c r="M3" s="1367"/>
      <c r="N3" s="1367"/>
      <c r="O3" s="1367"/>
      <c r="P3" s="1455"/>
      <c r="Q3" s="354"/>
      <c r="R3" s="355"/>
      <c r="S3" s="1459">
        <f>INDEX(PT_DIFFERENTIATION_NUM_TER,MATCH(B3,PT_DIFFERENTIATION_TER_ID,0))</f>
      </c>
      <c r="T3" s="310" t="s">
        <v>392</v>
      </c>
      <c r="U3" s="302"/>
      <c r="V3" s="2271"/>
      <c r="W3" s="2272"/>
      <c r="X3" s="2272"/>
      <c r="Y3" s="2272"/>
      <c r="Z3" s="2272"/>
      <c r="AA3" s="2272"/>
      <c r="AB3" s="2273"/>
      <c r="AC3" s="2271">
        <f>INDEX(PT_DIFFERENTIATION_TER,MATCH(B3,PT_DIFFERENTIATION_TER_ID,0))</f>
      </c>
      <c r="AD3" s="2272"/>
      <c r="AE3" s="2272"/>
      <c r="AF3" s="2272"/>
      <c r="AG3" s="2272"/>
      <c r="AH3" s="2272"/>
      <c r="AI3" s="2272"/>
      <c r="AJ3" s="2273"/>
      <c r="AK3" s="1260" t="s">
        <v>393</v>
      </c>
      <c r="AM3" s="502"/>
      <c r="AN3" s="502" t="str">
        <f>IF(T3="","",T3)</f>
        <v>Территория действия тарифа</v>
      </c>
      <c r="AO3" s="502"/>
      <c r="AP3" s="502"/>
      <c r="AQ3" s="1157">
        <v>0</v>
      </c>
    </row>
    <row customHeight="1" ht="23.25" hidden="1">
      <c r="A4" s="1365"/>
      <c r="B4" s="1365"/>
      <c r="C4" s="1365"/>
      <c r="D4" s="1365"/>
      <c r="E4" s="2278"/>
      <c r="F4" s="2278"/>
      <c r="G4" s="2277">
        <v>1</v>
      </c>
      <c r="H4" s="1365"/>
      <c r="I4" s="1365"/>
      <c r="J4" s="1365"/>
      <c r="K4" s="1365"/>
      <c r="L4" s="1366"/>
      <c r="M4" s="1367"/>
      <c r="N4" s="1367"/>
      <c r="O4" s="1367"/>
      <c r="P4" s="356"/>
      <c r="Q4" s="354"/>
      <c r="R4" s="355"/>
      <c r="S4" s="1459">
        <f>INDEX(PT_DIFFERENTIATION_NUM_CS,MATCH(C4,PT_DIFFERENTIATION_CS_ID,0))</f>
      </c>
      <c r="T4" s="311" t="s">
        <v>474</v>
      </c>
      <c r="U4" s="302"/>
      <c r="V4" s="2271"/>
      <c r="W4" s="2272"/>
      <c r="X4" s="2272"/>
      <c r="Y4" s="2272"/>
      <c r="Z4" s="2272"/>
      <c r="AA4" s="2272"/>
      <c r="AB4" s="2273"/>
      <c r="AC4" s="2271">
        <f>INDEX(PT_DIFFERENTIATION_CS,MATCH(C4,PT_DIFFERENTIATION_CS_ID,0))</f>
      </c>
      <c r="AD4" s="2272"/>
      <c r="AE4" s="2272"/>
      <c r="AF4" s="2272"/>
      <c r="AG4" s="2272"/>
      <c r="AH4" s="2272"/>
      <c r="AI4" s="2272"/>
      <c r="AJ4" s="2273"/>
      <c r="AK4" s="1260" t="s">
        <v>475</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78"/>
      <c r="F5" s="2278"/>
      <c r="G5" s="2278"/>
      <c r="H5" s="2278"/>
      <c r="I5" s="2279">
        <f>S4&amp;".1"</f>
      </c>
      <c r="J5" s="1365"/>
      <c r="K5" s="1365"/>
      <c r="L5" s="1366"/>
      <c r="P5" s="2281">
        <v>1</v>
      </c>
      <c r="Q5" s="1452"/>
      <c r="R5" s="358"/>
      <c r="S5" s="1459">
        <f>$I5</f>
      </c>
      <c r="T5" s="287" t="s">
        <v>476</v>
      </c>
      <c r="U5" s="302"/>
      <c r="V5" s="2375"/>
      <c r="W5" s="2376"/>
      <c r="X5" s="2376"/>
      <c r="Y5" s="2376"/>
      <c r="Z5" s="2376"/>
      <c r="AA5" s="2376"/>
      <c r="AB5" s="2377"/>
      <c r="AC5" s="2378"/>
      <c r="AD5" s="2379"/>
      <c r="AE5" s="2379"/>
      <c r="AF5" s="2379"/>
      <c r="AG5" s="2379"/>
      <c r="AH5" s="2379"/>
      <c r="AI5" s="2379"/>
      <c r="AJ5" s="2380"/>
      <c r="AK5" s="1260" t="s">
        <v>477</v>
      </c>
      <c r="AM5" s="502"/>
      <c r="AN5" s="502" t="str">
        <f>IF(T5="","",T5)</f>
        <v>Наименование признака дифференциации</v>
      </c>
      <c r="AO5" s="502"/>
      <c r="AP5" s="502"/>
      <c r="AQ5" s="1157">
        <v>0</v>
      </c>
    </row>
    <row customHeight="1" ht="23.25" hidden="1">
      <c r="A6" s="1365"/>
      <c r="B6" s="1365"/>
      <c r="C6" s="1365"/>
      <c r="D6" s="1365"/>
      <c r="E6" s="2278"/>
      <c r="F6" s="2278"/>
      <c r="G6" s="2278"/>
      <c r="H6" s="2278"/>
      <c r="I6" s="2280"/>
      <c r="J6" s="2279">
        <f>I5&amp;".1"</f>
      </c>
      <c r="K6" s="1365"/>
      <c r="L6" s="1366" t="s">
        <v>401</v>
      </c>
      <c r="P6" s="2281"/>
      <c r="Q6" s="2281">
        <v>1</v>
      </c>
      <c r="R6" s="359"/>
      <c r="S6" s="1459">
        <f>$J6</f>
      </c>
      <c r="T6" s="288" t="s">
        <v>402</v>
      </c>
      <c r="U6" s="302"/>
      <c r="V6" s="2265"/>
      <c r="W6" s="2266"/>
      <c r="X6" s="2266"/>
      <c r="Y6" s="2266"/>
      <c r="Z6" s="2266"/>
      <c r="AA6" s="2266"/>
      <c r="AB6" s="2267"/>
      <c r="AC6" s="2265"/>
      <c r="AD6" s="2266"/>
      <c r="AE6" s="2266"/>
      <c r="AF6" s="2266"/>
      <c r="AG6" s="2266"/>
      <c r="AH6" s="2266"/>
      <c r="AI6" s="2266"/>
      <c r="AJ6" s="2267"/>
      <c r="AK6" s="1309" t="s">
        <v>478</v>
      </c>
      <c r="AM6" s="502"/>
      <c r="AN6" s="502" t="str">
        <f>IF(T6="","",T6)</f>
        <v>Группа потребителей</v>
      </c>
      <c r="AO6" s="502"/>
      <c r="AP6" s="502"/>
      <c r="AQ6" s="1157">
        <v>0</v>
      </c>
    </row>
    <row customHeight="1" ht="23.25" hidden="1">
      <c r="A7" s="1365"/>
      <c r="B7" s="1365"/>
      <c r="C7" s="1365"/>
      <c r="D7" s="1365"/>
      <c r="E7" s="2278"/>
      <c r="F7" s="2278"/>
      <c r="G7" s="2278"/>
      <c r="H7" s="2278"/>
      <c r="I7" s="2280"/>
      <c r="J7" s="2280"/>
      <c r="K7" s="2279">
        <f>J6&amp;".1"</f>
      </c>
      <c r="L7" s="1366"/>
      <c r="P7" s="2281"/>
      <c r="Q7" s="2281"/>
      <c r="R7" s="359">
        <v>1</v>
      </c>
      <c r="S7" s="1459">
        <f>$K7</f>
      </c>
      <c r="T7" s="1439"/>
      <c r="U7" s="302"/>
      <c r="V7" s="753"/>
      <c r="W7" s="753"/>
      <c r="X7" s="1259"/>
      <c r="Y7" s="2282"/>
      <c r="Z7" s="2150" t="s">
        <v>65</v>
      </c>
      <c r="AA7" s="2282"/>
      <c r="AB7" s="2150" t="s">
        <v>65</v>
      </c>
      <c r="AC7" s="753"/>
      <c r="AD7" s="753"/>
      <c r="AE7" s="1259"/>
      <c r="AF7" s="2282"/>
      <c r="AG7" s="2150" t="s">
        <v>65</v>
      </c>
      <c r="AH7" s="2284"/>
      <c r="AI7" s="2150" t="s">
        <v>65</v>
      </c>
      <c r="AJ7" s="1440"/>
      <c r="AK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78"/>
      <c r="F8" s="2278"/>
      <c r="G8" s="2278"/>
      <c r="H8" s="2278"/>
      <c r="I8" s="2280"/>
      <c r="J8" s="2280"/>
      <c r="K8" s="2279"/>
      <c r="L8" s="1366"/>
      <c r="P8" s="2281"/>
      <c r="Q8" s="2281"/>
      <c r="R8" s="359"/>
      <c r="S8" s="1458"/>
      <c r="T8" s="302"/>
      <c r="U8" s="302"/>
      <c r="V8" s="327"/>
      <c r="W8" s="327"/>
      <c r="X8" s="330" t="str">
        <f>Y7&amp;"-"&amp;AA7</f>
        <v>-</v>
      </c>
      <c r="Y8" s="2283"/>
      <c r="Z8" s="2150"/>
      <c r="AA8" s="2283"/>
      <c r="AB8" s="2150"/>
      <c r="AC8" s="327"/>
      <c r="AD8" s="327"/>
      <c r="AE8" s="330" t="str">
        <f>AF7&amp;"-"&amp;AH7</f>
        <v>-</v>
      </c>
      <c r="AF8" s="2283"/>
      <c r="AG8" s="2150"/>
      <c r="AH8" s="2285"/>
      <c r="AI8" s="2150"/>
      <c r="AJ8" s="1441"/>
      <c r="AK8" s="2381"/>
      <c r="AM8" s="502"/>
      <c r="AN8" s="502" t="str">
        <f>IF(T8="","",T8)</f>
        <v/>
      </c>
      <c r="AO8" s="502"/>
      <c r="AP8" s="502"/>
      <c r="AQ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369"/>
      <c r="X9" s="369"/>
      <c r="Y9" s="369"/>
      <c r="Z9" s="369"/>
      <c r="AA9" s="369"/>
      <c r="AB9" s="369"/>
      <c r="AC9" s="369"/>
      <c r="AD9" s="369"/>
      <c r="AE9" s="369"/>
      <c r="AF9" s="369"/>
      <c r="AG9" s="369"/>
      <c r="AH9" s="369"/>
      <c r="AI9" s="369"/>
      <c r="AJ9" s="369"/>
      <c r="AK9" s="1260" t="s">
        <v>480</v>
      </c>
      <c r="AM9" s="502"/>
      <c r="AN9" s="502" t="str">
        <f>IF(T9="","",T9)</f>
        <v>Добавить значение признака дифференциации</v>
      </c>
      <c r="AO9" s="502"/>
      <c r="AP9" s="502"/>
      <c r="AQ9" s="1157">
        <v>0</v>
      </c>
    </row>
    <row customHeight="1" ht="21" hidden="1">
      <c r="A10" s="1365"/>
      <c r="B10" s="1365"/>
      <c r="C10" s="1365"/>
      <c r="D10" s="1365"/>
      <c r="E10" s="2278"/>
      <c r="F10" s="2278"/>
      <c r="G10" s="2278"/>
      <c r="H10" s="2278"/>
      <c r="I10" s="2279"/>
      <c r="J10" s="1365"/>
      <c r="K10" s="1365"/>
      <c r="L10" s="1366"/>
      <c r="P10" s="2281"/>
      <c r="Q10" s="1452"/>
      <c r="R10" s="358"/>
      <c r="S10" s="1280"/>
      <c r="T10" s="367" t="s">
        <v>407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78"/>
      <c r="F12" s="2277"/>
      <c r="G12" s="1316"/>
      <c r="H12" s="1316"/>
      <c r="I12" s="1316"/>
      <c r="J12" s="1316"/>
      <c r="K12" s="1316"/>
      <c r="L12" s="1460"/>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75"/>
      <c r="AG15" s="2274" t="s">
        <v>65</v>
      </c>
      <c r="AH15" s="2275"/>
      <c r="AI15" s="2274" t="s">
        <v>65</v>
      </c>
      <c r="AQ15" s="1157">
        <v>0</v>
      </c>
    </row>
    <row customHeight="1" ht="14.25" hidden="1">
      <c r="AC16" s="1362"/>
      <c r="AD16" s="1362"/>
      <c r="AE16" s="330" t="str">
        <f>AF15&amp;"-"&amp;AH15</f>
        <v>-</v>
      </c>
      <c r="AF16" s="2274"/>
      <c r="AG16" s="2274"/>
      <c r="AH16" s="2274"/>
      <c r="AI16" s="2274"/>
      <c r="AQ16" s="1157">
        <v>0</v>
      </c>
    </row>
    <row customHeight="1" ht="14.25" hidden="1">
      <c r="AI17" s="329"/>
      <c r="AQ17" s="1157">
        <v>0</v>
      </c>
    </row>
    <row s="1368" customFormat="1" customHeight="1" ht="22.5" hidden="1">
      <c r="L18" s="1449"/>
      <c r="M18" s="1364"/>
      <c r="N18" s="1364"/>
      <c r="O18" s="1369" t="s">
        <v>412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413</v>
      </c>
      <c r="P20" s="1364"/>
      <c r="Q20" s="1444"/>
      <c r="R20" s="1444"/>
      <c r="S20" s="731"/>
      <c r="T20" s="1162" t="s">
        <v>414</v>
      </c>
      <c r="Z20" s="188" t="s">
        <v>415</v>
      </c>
      <c r="AB20" s="188" t="s">
        <v>416</v>
      </c>
      <c r="AC20" s="1162" t="s">
        <v>414</v>
      </c>
      <c r="AG20" s="188" t="s">
        <v>417</v>
      </c>
      <c r="AI20" s="188" t="s">
        <v>416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3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0"/>
      <c r="U24" s="2310"/>
      <c r="V24" s="2310"/>
      <c r="W24" s="2310"/>
      <c r="X24" s="2310"/>
      <c r="Y24" s="2310"/>
      <c r="Z24" s="2310"/>
      <c r="AA24" s="2310"/>
      <c r="AB24" s="2310"/>
      <c r="AC24" s="2310"/>
      <c r="AD24" s="2310"/>
      <c r="AE24" s="2310"/>
      <c r="AF24" s="2310"/>
      <c r="AG24" s="2310"/>
      <c r="AH24" s="2310"/>
      <c r="AI24" s="1245"/>
      <c r="AQ24" s="1157">
        <v>14</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328"/>
      <c r="AC27" s="2270" t="str">
        <f>IF(TITLE_NAME_OR_PR_CHANGE="",IF(TITLE_NAME_OR_PR="","",TITLE_NAME_OR_PR),TITLE_NAME_OR_PR_CHANGE)</f>
        <v/>
      </c>
      <c r="AD27" s="2270"/>
      <c r="AE27" s="2270"/>
      <c r="AF27" s="2270"/>
      <c r="AG27" s="2270"/>
      <c r="AH27" s="2270"/>
      <c r="AI27" s="328"/>
      <c r="AJ27" s="328"/>
      <c r="AK27" s="282"/>
      <c r="AL27" s="370"/>
      <c r="AM27" s="370"/>
      <c r="AN27" s="370"/>
      <c r="AO27" s="370"/>
      <c r="AP27" s="370"/>
      <c r="AQ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328"/>
      <c r="AC28" s="2269" t="str">
        <f>IF(TITLE_DATE_PR_CHANGE="",IF(TITLE_DATE_PR="","",TITLE_DATE_PR),TITLE_DATE_PR_CHANGE)</f>
        <v/>
      </c>
      <c r="AD28" s="2269"/>
      <c r="AE28" s="2269"/>
      <c r="AF28" s="2269"/>
      <c r="AG28" s="2269"/>
      <c r="AH28" s="2269"/>
      <c r="AI28" s="328"/>
      <c r="AJ28" s="328"/>
      <c r="AK28" s="282"/>
      <c r="AL28" s="370"/>
      <c r="AM28" s="370"/>
      <c r="AN28" s="370"/>
      <c r="AO28" s="370"/>
      <c r="AP28" s="370"/>
      <c r="AQ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328"/>
      <c r="AC29" s="2270" t="str">
        <f>IF(TITLE_NUMBER_PR_CHANGE="",IF(TITLE_NUMBER_PR="","",TITLE_NUMBER_PR),TITLE_NUMBER_PR_CHANGE)</f>
        <v/>
      </c>
      <c r="AD29" s="2270"/>
      <c r="AE29" s="2270"/>
      <c r="AF29" s="2270"/>
      <c r="AG29" s="2270"/>
      <c r="AH29" s="2270"/>
      <c r="AI29" s="328"/>
      <c r="AJ29" s="328"/>
      <c r="AK29" s="282"/>
      <c r="AL29" s="370"/>
      <c r="AM29" s="370"/>
      <c r="AN29" s="370"/>
      <c r="AO29" s="370"/>
      <c r="AP29" s="370"/>
      <c r="AQ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328"/>
      <c r="AC30" s="2270" t="str">
        <f>IF(TITLE_IST_PUB_CHANGE="",IF(TITLE_IST_PUB="","",TITLE_IST_PUB),TITLE_IST_PUB_CHANGE)</f>
        <v/>
      </c>
      <c r="AD30" s="2270"/>
      <c r="AE30" s="2270"/>
      <c r="AF30" s="2270"/>
      <c r="AG30" s="2270"/>
      <c r="AH30" s="2270"/>
      <c r="AI30" s="328"/>
      <c r="AJ30" s="328"/>
      <c r="AK30" s="282"/>
      <c r="AL30" s="370"/>
      <c r="AM30" s="370"/>
      <c r="AN30" s="370"/>
      <c r="AO30" s="370"/>
      <c r="AP30" s="370"/>
      <c r="AQ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511"/>
      <c r="AQ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328"/>
      <c r="AC32" s="2269" t="str">
        <f>IF(TITLE_DATE_PR_CHANGE="",IF(TITLE_DATE_PR="","",TITLE_DATE_PR),TITLE_DATE_PR_CHANGE)</f>
        <v/>
      </c>
      <c r="AD32" s="2269"/>
      <c r="AE32" s="2269"/>
      <c r="AF32" s="2269"/>
      <c r="AG32" s="2269"/>
      <c r="AH32" s="2269"/>
      <c r="AI32" s="328"/>
      <c r="AJ32" s="328"/>
      <c r="AK32" s="282"/>
      <c r="AL32" s="370"/>
      <c r="AM32" s="370"/>
      <c r="AN32" s="370"/>
      <c r="AO32" s="370"/>
      <c r="AP32" s="370"/>
      <c r="AQ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328"/>
      <c r="AC33" s="2270" t="str">
        <f>IF(TITLE_NUMBER_PR_CHANGE="",IF(TITLE_NUMBER_PR="","",TITLE_NUMBER_PR),TITLE_NUMBER_PR_CHANGE)</f>
        <v/>
      </c>
      <c r="AD33" s="2270"/>
      <c r="AE33" s="2270"/>
      <c r="AF33" s="2270"/>
      <c r="AG33" s="2270"/>
      <c r="AH33" s="2270"/>
      <c r="AI33" s="328"/>
      <c r="AJ33" s="328"/>
      <c r="AK33" s="282"/>
      <c r="AL33" s="370"/>
      <c r="AM33" s="370"/>
      <c r="AN33" s="370"/>
      <c r="AO33" s="370"/>
      <c r="AP33" s="370"/>
      <c r="AQ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418</v>
      </c>
      <c r="AC34" s="328"/>
      <c r="AD34" s="328"/>
      <c r="AE34" s="328"/>
      <c r="AF34" s="328"/>
      <c r="AG34" s="328"/>
      <c r="AH34" s="328"/>
      <c r="AI34" s="280" t="s">
        <v>418</v>
      </c>
      <c r="AL34" s="370"/>
      <c r="AM34" s="370"/>
      <c r="AN34" s="370"/>
      <c r="AO34" s="370"/>
      <c r="AP34" s="370"/>
      <c r="AQ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Q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t="s">
        <v>296</v>
      </c>
      <c r="AQ36" s="1157">
        <v>14</v>
      </c>
    </row>
    <row customHeight="1" ht="14.699999999999998">
      <c r="Q37" s="378"/>
      <c r="R37" s="378"/>
      <c r="S37" s="2295" t="s">
        <v>88</v>
      </c>
      <c r="T37" s="2232" t="s">
        <v>419</v>
      </c>
      <c r="U37" s="303"/>
      <c r="V37" s="2296" t="s">
        <v>420</v>
      </c>
      <c r="W37" s="2297"/>
      <c r="X37" s="2297"/>
      <c r="Y37" s="2297"/>
      <c r="Z37" s="2297"/>
      <c r="AA37" s="2298"/>
      <c r="AB37" s="2299" t="s">
        <v>421</v>
      </c>
      <c r="AC37" s="2296" t="s">
        <v>420</v>
      </c>
      <c r="AD37" s="2297"/>
      <c r="AE37" s="2297"/>
      <c r="AF37" s="2297"/>
      <c r="AG37" s="2297"/>
      <c r="AH37" s="2298"/>
      <c r="AI37" s="2299" t="s">
        <v>422</v>
      </c>
      <c r="AJ37" s="2302" t="s">
        <v>423</v>
      </c>
      <c r="AK37" s="2140"/>
      <c r="AQ37" s="1157">
        <v>14</v>
      </c>
    </row>
    <row customHeight="1" ht="35.699999999999996">
      <c r="Q38" s="378"/>
      <c r="R38" s="378"/>
      <c r="S38" s="2295"/>
      <c r="T38" s="2232"/>
      <c r="U38" s="1033"/>
      <c r="V38" s="1454" t="s">
        <v>482</v>
      </c>
      <c r="W38" s="2288" t="s">
        <v>426</v>
      </c>
      <c r="X38" s="2290"/>
      <c r="Y38" s="2288" t="s">
        <v>427</v>
      </c>
      <c r="Z38" s="2289"/>
      <c r="AA38" s="2290"/>
      <c r="AB38" s="2300"/>
      <c r="AC38" s="1454" t="s">
        <v>482</v>
      </c>
      <c r="AD38" s="2288" t="s">
        <v>426</v>
      </c>
      <c r="AE38" s="2290"/>
      <c r="AF38" s="2288" t="s">
        <v>427</v>
      </c>
      <c r="AG38" s="2289"/>
      <c r="AH38" s="2290"/>
      <c r="AI38" s="2300"/>
      <c r="AJ38" s="2303"/>
      <c r="AK38" s="2140"/>
      <c r="AQ38" s="1157">
        <v>34</v>
      </c>
    </row>
    <row customHeight="1" ht="35.699999999999996">
      <c r="A39" s="1372"/>
      <c r="B39" s="1372" t="s">
        <v>132</v>
      </c>
      <c r="C39" s="1372" t="s">
        <v>133</v>
      </c>
      <c r="D39" s="1372" t="s">
        <v>134</v>
      </c>
      <c r="E39" s="1366" t="s">
        <v>428</v>
      </c>
      <c r="F39" s="1366" t="s">
        <v>429</v>
      </c>
      <c r="G39" s="1366" t="s">
        <v>430</v>
      </c>
      <c r="H39" s="1366"/>
      <c r="I39" s="1366" t="s">
        <v>483</v>
      </c>
      <c r="J39" s="1366" t="s">
        <v>433</v>
      </c>
      <c r="K39" s="1366" t="s">
        <v>484</v>
      </c>
      <c r="L39" s="1366" t="s">
        <v>413</v>
      </c>
      <c r="Q39" s="378"/>
      <c r="R39" s="378"/>
      <c r="S39" s="2295"/>
      <c r="T39" s="2232"/>
      <c r="U39" s="304"/>
      <c r="V39" s="1454" t="s">
        <v>485</v>
      </c>
      <c r="W39" s="1224" t="s">
        <v>486</v>
      </c>
      <c r="X39" s="1224" t="s">
        <v>487</v>
      </c>
      <c r="Y39" s="1457" t="s">
        <v>437</v>
      </c>
      <c r="Z39" s="2291" t="s">
        <v>438</v>
      </c>
      <c r="AA39" s="2292"/>
      <c r="AB39" s="2301"/>
      <c r="AC39" s="1454" t="s">
        <v>485</v>
      </c>
      <c r="AD39" s="1224" t="s">
        <v>486</v>
      </c>
      <c r="AE39" s="1224" t="s">
        <v>487</v>
      </c>
      <c r="AF39" s="1457" t="s">
        <v>437</v>
      </c>
      <c r="AG39" s="2291" t="s">
        <v>438</v>
      </c>
      <c r="AH39" s="2292"/>
      <c r="AI39" s="2301"/>
      <c r="AJ39" s="2304"/>
      <c r="AK39" s="2140"/>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106</v>
      </c>
      <c r="T40" s="1257" t="s">
        <v>107</v>
      </c>
      <c r="U40" s="1247" t="str">
        <f>OFFSET(U40,0,-1)</f>
        <v>2</v>
      </c>
      <c r="V40" s="1453">
        <f>OFFSET(V40,0,-1)+1</f>
        <v>3</v>
      </c>
      <c r="W40" s="1453">
        <f>OFFSET(W40,0,-1)+1</f>
        <v>4</v>
      </c>
      <c r="X40" s="1453">
        <f>OFFSET(X40,0,-1)+1</f>
        <v>5</v>
      </c>
      <c r="Y40" s="1453">
        <f>OFFSET(Y40,0,-1)+1</f>
        <v>6</v>
      </c>
      <c r="Z40" s="2293">
        <f>OFFSET(Z40,0,-1)+1</f>
        <v>7</v>
      </c>
      <c r="AA40" s="2293"/>
      <c r="AB40" s="1453">
        <f>OFFSET(AB40,0,-2)+1</f>
        <v>8</v>
      </c>
      <c r="AC40" s="1453">
        <f>OFFSET(AC40,0,-1)+1</f>
        <v>9</v>
      </c>
      <c r="AD40" s="1453">
        <f>OFFSET(AD40,0,-1)+1</f>
        <v>10</v>
      </c>
      <c r="AE40" s="1453">
        <f>OFFSET(AE40,0,-1)+1</f>
        <v>11</v>
      </c>
      <c r="AF40" s="1453">
        <f>OFFSET(AF40,0,-1)+1</f>
        <v>12</v>
      </c>
      <c r="AG40" s="2293">
        <f>OFFSET(AG40,0,-1)+1</f>
        <v>13</v>
      </c>
      <c r="AH40" s="2293"/>
      <c r="AI40" s="1453">
        <f>OFFSET(AI40,0,-2)+1</f>
        <v>14</v>
      </c>
      <c r="AJ40" s="1247">
        <f>OFFSET(AJ40,0,-1)</f>
        <v>14</v>
      </c>
      <c r="AK40" s="1453">
        <f>OFFSET(AK40,0,-1)+1</f>
        <v>15</v>
      </c>
      <c r="AL40" s="513"/>
      <c r="AM40" s="513"/>
      <c r="AN40" s="513"/>
      <c r="AO40" s="513"/>
      <c r="AP40" s="513"/>
      <c r="AQ40" s="498">
        <v>0</v>
      </c>
    </row>
    <row customHeight="1" ht="24">
      <c r="A41" s="1365" t="s">
        <v>236</v>
      </c>
      <c r="B41" s="1365"/>
      <c r="C41" s="1365"/>
      <c r="D41" s="1365"/>
      <c r="E41" s="2277">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120</v>
      </c>
      <c r="U41" s="302"/>
      <c r="V41" s="2271"/>
      <c r="W41" s="2272"/>
      <c r="X41" s="2272"/>
      <c r="Y41" s="2272"/>
      <c r="Z41" s="2272"/>
      <c r="AA41" s="2272"/>
      <c r="AB41" s="2273"/>
      <c r="AC41" s="2271" t="str">
        <f>INDEX(PT_DIFFERENTIATION_NTAR,MATCH(A41,PT_DIFFERENTIATION_NTAR_ID,0))</f>
        <v/>
      </c>
      <c r="AD41" s="2272"/>
      <c r="AE41" s="2272"/>
      <c r="AF41" s="2272"/>
      <c r="AG41" s="2272"/>
      <c r="AH41" s="2272"/>
      <c r="AI41" s="2272"/>
      <c r="AJ41" s="2273"/>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236</v>
      </c>
      <c r="B42" s="1365" t="s">
        <v>237</v>
      </c>
      <c r="C42" s="1365"/>
      <c r="D42" s="1365"/>
      <c r="E42" s="2278"/>
      <c r="F42" s="2277">
        <v>1</v>
      </c>
      <c r="G42" s="1365"/>
      <c r="H42" s="1365"/>
      <c r="I42" s="1365"/>
      <c r="J42" s="1365"/>
      <c r="K42" s="1365"/>
      <c r="L42" s="1366"/>
      <c r="M42" s="1367"/>
      <c r="N42" s="1367"/>
      <c r="O42" s="1367"/>
      <c r="P42" s="1455"/>
      <c r="Q42" s="354"/>
      <c r="R42" s="355"/>
      <c r="S42" s="1459" t="str">
        <f>INDEX(PT_DIFFERENTIATION_NUM_TER,MATCH(B42,PT_DIFFERENTIATION_TER_ID,0))</f>
        <v>.</v>
      </c>
      <c r="T42" s="310" t="s">
        <v>392</v>
      </c>
      <c r="U42" s="302"/>
      <c r="V42" s="2271"/>
      <c r="W42" s="2272"/>
      <c r="X42" s="2272"/>
      <c r="Y42" s="2272"/>
      <c r="Z42" s="2272"/>
      <c r="AA42" s="2272"/>
      <c r="AB42" s="2273"/>
      <c r="AC42" s="2271" t="str">
        <f>INDEX(PT_DIFFERENTIATION_TER,MATCH(B42,PT_DIFFERENTIATION_TER_ID,0))</f>
        <v/>
      </c>
      <c r="AD42" s="2272"/>
      <c r="AE42" s="2272"/>
      <c r="AF42" s="2272"/>
      <c r="AG42" s="2272"/>
      <c r="AH42" s="2272"/>
      <c r="AI42" s="2272"/>
      <c r="AJ42" s="2273"/>
      <c r="AK42" s="1260" t="s">
        <v>393</v>
      </c>
      <c r="AM42" s="502"/>
      <c r="AN42" s="502" t="str">
        <f>IF(T42="","",T42)</f>
        <v>Территория действия тарифа</v>
      </c>
      <c r="AO42" s="502"/>
      <c r="AP42" s="502"/>
      <c r="AQ42" s="1157">
        <v>23</v>
      </c>
    </row>
    <row customHeight="1" ht="24">
      <c r="A43" s="1365" t="s">
        <v>236</v>
      </c>
      <c r="B43" s="1365" t="s">
        <v>237</v>
      </c>
      <c r="C43" s="1365" t="s">
        <v>238</v>
      </c>
      <c r="D43" s="1365"/>
      <c r="E43" s="2278"/>
      <c r="F43" s="2278"/>
      <c r="G43" s="2277">
        <v>1</v>
      </c>
      <c r="H43" s="1365"/>
      <c r="I43" s="1365"/>
      <c r="J43" s="1365"/>
      <c r="K43" s="1365"/>
      <c r="L43" s="1366"/>
      <c r="M43" s="1367"/>
      <c r="N43" s="1367"/>
      <c r="O43" s="1367"/>
      <c r="P43" s="356"/>
      <c r="Q43" s="354"/>
      <c r="R43" s="355"/>
      <c r="S43" s="1459" t="str">
        <f>INDEX(PT_DIFFERENTIATION_NUM_CS,MATCH(C43,PT_DIFFERENTIATION_CS_ID,0))</f>
        <v>..</v>
      </c>
      <c r="T43" s="311" t="s">
        <v>474</v>
      </c>
      <c r="U43" s="302"/>
      <c r="V43" s="2271"/>
      <c r="W43" s="2272"/>
      <c r="X43" s="2272"/>
      <c r="Y43" s="2272"/>
      <c r="Z43" s="2272"/>
      <c r="AA43" s="2272"/>
      <c r="AB43" s="2273"/>
      <c r="AC43" s="2271" t="str">
        <f>INDEX(PT_DIFFERENTIATION_CS,MATCH(C43,PT_DIFFERENTIATION_CS_ID,0))</f>
        <v/>
      </c>
      <c r="AD43" s="2272"/>
      <c r="AE43" s="2272"/>
      <c r="AF43" s="2272"/>
      <c r="AG43" s="2272"/>
      <c r="AH43" s="2272"/>
      <c r="AI43" s="2272"/>
      <c r="AJ43" s="2273"/>
      <c r="AK43" s="1260" t="s">
        <v>475</v>
      </c>
      <c r="AM43" s="502"/>
      <c r="AN43" s="502" t="str">
        <f>IF(T43="","",T43)</f>
        <v>Наименование централизованной системы холодного водоснабжения</v>
      </c>
      <c r="AO43" s="502"/>
      <c r="AP43" s="502"/>
      <c r="AQ43" s="1157">
        <v>23</v>
      </c>
    </row>
    <row customHeight="1" ht="24">
      <c r="A44" s="1365" t="s">
        <v>236</v>
      </c>
      <c r="B44" s="1365" t="s">
        <v>237</v>
      </c>
      <c r="C44" s="1365" t="s">
        <v>238</v>
      </c>
      <c r="D44" s="1365" t="s">
        <v>491</v>
      </c>
      <c r="E44" s="2278"/>
      <c r="F44" s="2278"/>
      <c r="G44" s="2278"/>
      <c r="H44" s="2278"/>
      <c r="I44" s="2279" t="str">
        <f>S43&amp;".1"</f>
        <v>...1</v>
      </c>
      <c r="J44" s="1365"/>
      <c r="K44" s="1365"/>
      <c r="L44" s="1366"/>
      <c r="P44" s="2281">
        <v>1</v>
      </c>
      <c r="Q44" s="1452"/>
      <c r="R44" s="358"/>
      <c r="S44" s="1459" t="str">
        <f>$I44</f>
        <v>...1</v>
      </c>
      <c r="T44" s="287" t="s">
        <v>476</v>
      </c>
      <c r="U44" s="302"/>
      <c r="V44" s="2375"/>
      <c r="W44" s="2376"/>
      <c r="X44" s="2376"/>
      <c r="Y44" s="2376"/>
      <c r="Z44" s="2376"/>
      <c r="AA44" s="2376"/>
      <c r="AB44" s="2377"/>
      <c r="AC44" s="2378"/>
      <c r="AD44" s="2379"/>
      <c r="AE44" s="2379"/>
      <c r="AF44" s="2379"/>
      <c r="AG44" s="2379"/>
      <c r="AH44" s="2379"/>
      <c r="AI44" s="2379"/>
      <c r="AJ44" s="2380"/>
      <c r="AK44" s="1260" t="s">
        <v>477</v>
      </c>
      <c r="AM44" s="502"/>
      <c r="AN44" s="502" t="str">
        <f>IF(T44="","",T44)</f>
        <v>Наименование признака дифференциации</v>
      </c>
      <c r="AO44" s="502"/>
      <c r="AP44" s="502"/>
      <c r="AQ44" s="1157">
        <v>23</v>
      </c>
    </row>
    <row customHeight="1" ht="24">
      <c r="A45" s="1365" t="s">
        <v>236</v>
      </c>
      <c r="B45" s="1365" t="s">
        <v>237</v>
      </c>
      <c r="C45" s="1365" t="s">
        <v>238</v>
      </c>
      <c r="D45" s="1365" t="s">
        <v>491</v>
      </c>
      <c r="E45" s="2278"/>
      <c r="F45" s="2278"/>
      <c r="G45" s="2278"/>
      <c r="H45" s="2278"/>
      <c r="I45" s="2280"/>
      <c r="J45" s="2279" t="str">
        <f>I44&amp;".1"</f>
        <v>...1.1</v>
      </c>
      <c r="K45" s="1365"/>
      <c r="L45" s="1366" t="s">
        <v>401</v>
      </c>
      <c r="P45" s="2281"/>
      <c r="Q45" s="2281">
        <v>1</v>
      </c>
      <c r="R45" s="359"/>
      <c r="S45" s="1459" t="str">
        <f>$J45</f>
        <v>...1.1</v>
      </c>
      <c r="T45" s="288" t="s">
        <v>402</v>
      </c>
      <c r="U45" s="302"/>
      <c r="V45" s="2265"/>
      <c r="W45" s="2266"/>
      <c r="X45" s="2266"/>
      <c r="Y45" s="2266"/>
      <c r="Z45" s="2266"/>
      <c r="AA45" s="2266"/>
      <c r="AB45" s="2267"/>
      <c r="AC45" s="2265"/>
      <c r="AD45" s="2266"/>
      <c r="AE45" s="2266"/>
      <c r="AF45" s="2266"/>
      <c r="AG45" s="2266"/>
      <c r="AH45" s="2266"/>
      <c r="AI45" s="2266"/>
      <c r="AJ45" s="2267"/>
      <c r="AK45" s="1309" t="s">
        <v>478</v>
      </c>
      <c r="AM45" s="502"/>
      <c r="AN45" s="502" t="str">
        <f>IF(T45="","",T45)</f>
        <v>Группа потребителей</v>
      </c>
      <c r="AO45" s="502"/>
      <c r="AP45" s="502"/>
      <c r="AQ45" s="1157">
        <v>23</v>
      </c>
    </row>
    <row customHeight="1" ht="24">
      <c r="A46" s="1365" t="s">
        <v>236</v>
      </c>
      <c r="B46" s="1365" t="s">
        <v>237</v>
      </c>
      <c r="C46" s="1365" t="s">
        <v>238</v>
      </c>
      <c r="D46" s="1365" t="s">
        <v>491</v>
      </c>
      <c r="E46" s="2278"/>
      <c r="F46" s="2278"/>
      <c r="G46" s="2278"/>
      <c r="H46" s="2278"/>
      <c r="I46" s="2280"/>
      <c r="J46" s="2280"/>
      <c r="K46" s="2279" t="str">
        <f>J45&amp;".1"</f>
        <v>...1.1.1</v>
      </c>
      <c r="L46" s="1366"/>
      <c r="P46" s="2281"/>
      <c r="Q46" s="2281"/>
      <c r="R46" s="359">
        <v>1</v>
      </c>
      <c r="S46" s="1459" t="str">
        <f>$K46</f>
        <v>...1.1.1</v>
      </c>
      <c r="T46" s="1439"/>
      <c r="U46" s="302"/>
      <c r="V46" s="753"/>
      <c r="W46" s="753"/>
      <c r="X46" s="1259"/>
      <c r="Y46" s="2282"/>
      <c r="Z46" s="2150" t="s">
        <v>65</v>
      </c>
      <c r="AA46" s="2282"/>
      <c r="AB46" s="2150" t="s">
        <v>65</v>
      </c>
      <c r="AC46" s="753"/>
      <c r="AD46" s="753"/>
      <c r="AE46" s="1259"/>
      <c r="AF46" s="2282"/>
      <c r="AG46" s="2150" t="s">
        <v>65</v>
      </c>
      <c r="AH46" s="2284"/>
      <c r="AI46" s="2150" t="s">
        <v>65</v>
      </c>
      <c r="AJ46" s="1440"/>
      <c r="AK46"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236</v>
      </c>
      <c r="B47" s="1365" t="s">
        <v>237</v>
      </c>
      <c r="C47" s="1365" t="s">
        <v>238</v>
      </c>
      <c r="D47" s="1365" t="s">
        <v>491</v>
      </c>
      <c r="E47" s="2278"/>
      <c r="F47" s="2278"/>
      <c r="G47" s="2278"/>
      <c r="H47" s="2278"/>
      <c r="I47" s="2280"/>
      <c r="J47" s="2280"/>
      <c r="K47" s="2279"/>
      <c r="L47" s="1366"/>
      <c r="P47" s="2281"/>
      <c r="Q47" s="2281"/>
      <c r="R47" s="359"/>
      <c r="S47" s="1458"/>
      <c r="T47" s="302"/>
      <c r="U47" s="302"/>
      <c r="V47" s="327"/>
      <c r="W47" s="327"/>
      <c r="X47" s="330" t="str">
        <f>Y46&amp;"-"&amp;AA46</f>
        <v>-</v>
      </c>
      <c r="Y47" s="2283"/>
      <c r="Z47" s="2150"/>
      <c r="AA47" s="2283"/>
      <c r="AB47" s="2150"/>
      <c r="AC47" s="327"/>
      <c r="AD47" s="327"/>
      <c r="AE47" s="330" t="str">
        <f>AF46&amp;"-"&amp;AH46</f>
        <v>-</v>
      </c>
      <c r="AF47" s="2283"/>
      <c r="AG47" s="2150"/>
      <c r="AH47" s="2285"/>
      <c r="AI47" s="2150"/>
      <c r="AJ47" s="1441"/>
      <c r="AK47" s="2381"/>
      <c r="AM47" s="502"/>
      <c r="AN47" s="502" t="str">
        <f>IF(T47="","",T47)</f>
        <v/>
      </c>
      <c r="AO47" s="502"/>
      <c r="AP47" s="502"/>
      <c r="AQ47" s="1157">
        <v>0</v>
      </c>
    </row>
    <row customHeight="1" ht="21">
      <c r="A48" s="1365" t="s">
        <v>236</v>
      </c>
      <c r="B48" s="1365" t="s">
        <v>237</v>
      </c>
      <c r="C48" s="1365" t="s">
        <v>238</v>
      </c>
      <c r="D48" s="1365" t="s">
        <v>491</v>
      </c>
      <c r="E48" s="2278"/>
      <c r="F48" s="2278"/>
      <c r="G48" s="2278"/>
      <c r="H48" s="2278"/>
      <c r="I48" s="2280"/>
      <c r="J48" s="2279"/>
      <c r="K48" s="1365"/>
      <c r="L48" s="1366"/>
      <c r="P48" s="2281"/>
      <c r="Q48" s="2281"/>
      <c r="R48" s="358"/>
      <c r="S48" s="1280"/>
      <c r="T48" s="289" t="s">
        <v>479</v>
      </c>
      <c r="U48" s="369"/>
      <c r="V48" s="369"/>
      <c r="W48" s="369"/>
      <c r="X48" s="369"/>
      <c r="Y48" s="369"/>
      <c r="Z48" s="369"/>
      <c r="AA48" s="369"/>
      <c r="AB48" s="369"/>
      <c r="AC48" s="369"/>
      <c r="AD48" s="369"/>
      <c r="AE48" s="369"/>
      <c r="AF48" s="369"/>
      <c r="AG48" s="369"/>
      <c r="AH48" s="369"/>
      <c r="AI48" s="369"/>
      <c r="AJ48" s="369"/>
      <c r="AK48" s="1260" t="s">
        <v>480</v>
      </c>
      <c r="AM48" s="502"/>
      <c r="AN48" s="502" t="str">
        <f>IF(T48="","",T48)</f>
        <v>Добавить значение признака дифференциации</v>
      </c>
      <c r="AO48" s="502"/>
      <c r="AP48" s="502"/>
      <c r="AQ48" s="1157">
        <v>20</v>
      </c>
    </row>
    <row customHeight="1" ht="22.049999999999997">
      <c r="A49" s="1365" t="s">
        <v>236</v>
      </c>
      <c r="B49" s="1365" t="s">
        <v>237</v>
      </c>
      <c r="C49" s="1365" t="s">
        <v>238</v>
      </c>
      <c r="D49" s="1365" t="s">
        <v>491</v>
      </c>
      <c r="E49" s="2278"/>
      <c r="F49" s="2278"/>
      <c r="G49" s="2278"/>
      <c r="H49" s="2278"/>
      <c r="I49" s="2279"/>
      <c r="J49" s="1365"/>
      <c r="K49" s="1365"/>
      <c r="L49" s="1366"/>
      <c r="P49" s="2281"/>
      <c r="Q49" s="1452"/>
      <c r="R49" s="358"/>
      <c r="S49" s="1280"/>
      <c r="T49" s="367" t="s">
        <v>407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236</v>
      </c>
      <c r="B50" s="1365" t="s">
        <v>237</v>
      </c>
      <c r="C50" s="1365" t="s">
        <v>238</v>
      </c>
      <c r="D50" s="1365" t="s">
        <v>491</v>
      </c>
      <c r="E50" s="2278"/>
      <c r="F50" s="2278"/>
      <c r="G50" s="2278"/>
      <c r="H50" s="2277"/>
      <c r="I50" s="1365"/>
      <c r="J50" s="1365"/>
      <c r="K50" s="1365"/>
      <c r="L50" s="1366"/>
      <c r="M50" s="1367"/>
      <c r="N50" s="1367"/>
      <c r="O50" s="539"/>
      <c r="P50" s="362"/>
      <c r="Q50" s="377"/>
      <c r="R50" s="357"/>
      <c r="S50" s="1280"/>
      <c r="T50" s="374" t="s">
        <v>481</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236</v>
      </c>
      <c r="B51" s="1345" t="s">
        <v>237</v>
      </c>
      <c r="C51" s="1316"/>
      <c r="D51" s="1316"/>
      <c r="E51" s="2278"/>
      <c r="F51" s="2277"/>
      <c r="G51" s="1316"/>
      <c r="H51" s="1316"/>
      <c r="I51" s="1316"/>
      <c r="J51" s="1316"/>
      <c r="K51" s="1316"/>
      <c r="L51" s="1460"/>
      <c r="M51" s="1323"/>
      <c r="N51" s="1323"/>
      <c r="P51" s="1318"/>
      <c r="Q51" s="1319"/>
      <c r="R51" s="1318"/>
      <c r="S51" s="1324"/>
      <c r="T51" s="1327" t="s">
        <v>410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236</v>
      </c>
      <c r="B52" s="1345"/>
      <c r="C52" s="1345"/>
      <c r="D52" s="1345"/>
      <c r="E52" s="2277"/>
      <c r="F52" s="1345"/>
      <c r="G52" s="1345"/>
      <c r="H52" s="1345"/>
      <c r="I52" s="1345"/>
      <c r="J52" s="1345"/>
      <c r="K52" s="1345"/>
      <c r="L52" s="1348"/>
      <c r="M52" s="1323"/>
      <c r="N52" s="1323"/>
      <c r="O52" s="520"/>
      <c r="P52" s="382"/>
      <c r="Q52" s="1346"/>
      <c r="R52" s="382"/>
      <c r="S52" s="1324"/>
      <c r="T52" s="1327" t="s">
        <v>411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439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76"/>
      <c r="U55" s="2276"/>
      <c r="V55" s="2276"/>
      <c r="W55" s="2276"/>
      <c r="X55" s="2276"/>
      <c r="Y55" s="2276"/>
      <c r="Z55" s="2276"/>
      <c r="AA55" s="2276"/>
      <c r="AB55" s="2276"/>
      <c r="AC55" s="2276"/>
      <c r="AD55" s="2276"/>
      <c r="AE55" s="2276"/>
      <c r="AF55" s="2276"/>
      <c r="AG55" s="2276"/>
      <c r="AH55" s="2276"/>
      <c r="AI55" s="2276"/>
      <c r="AJ55" s="2276"/>
      <c r="AK55" s="2276"/>
      <c r="AQ55" s="1157">
        <v>14</v>
      </c>
    </row>
    <row customHeight="1" ht="14.699999999999998">
      <c r="O56" s="539"/>
      <c r="AQ56" s="1157">
        <v>14</v>
      </c>
    </row>
    <row customHeight="1" ht="14.699999999999998">
      <c r="O57" s="539"/>
      <c r="S57" s="1255"/>
      <c r="T57" s="2276"/>
      <c r="U57" s="2276"/>
      <c r="V57" s="2276"/>
      <c r="W57" s="2276"/>
      <c r="X57" s="2276"/>
      <c r="Y57" s="2276"/>
      <c r="Z57" s="2276"/>
      <c r="AA57" s="2276"/>
      <c r="AB57" s="2276"/>
      <c r="AC57" s="2276"/>
      <c r="AD57" s="2276"/>
      <c r="AE57" s="2276"/>
      <c r="AF57" s="2276"/>
      <c r="AG57" s="2276"/>
      <c r="AH57" s="2276"/>
      <c r="AI57" s="2276"/>
      <c r="AJ57" s="2276"/>
      <c r="AK57" s="2276"/>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C3388-5ED5-60D8-9CF6-94232D82B2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1777" width="3.7109375" hidden="1" customWidth="1"/>
    <col min="17" max="17" style="1373" width="3.7109375" hidden="1" customWidth="1"/>
    <col min="18" max="18" style="346" width="3.00390625" customWidth="1"/>
    <col min="19" max="19" style="2433"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77">
        <v>1</v>
      </c>
      <c r="F2" s="1365"/>
      <c r="G2" s="1365"/>
      <c r="H2" s="1365"/>
      <c r="I2" s="1365"/>
      <c r="J2" s="1365"/>
      <c r="K2" s="1365"/>
      <c r="L2" s="1366"/>
      <c r="M2" s="1367"/>
      <c r="N2" s="1367"/>
      <c r="O2" s="1367"/>
      <c r="P2" s="1411"/>
      <c r="Q2" s="875"/>
      <c r="R2" s="357"/>
      <c r="S2" s="1467">
        <f>INDEX(PT_DIFFERENTIATION_NUM_NTAR,MATCH(A2,PT_DIFFERENTIATION_NTAR_ID,0))</f>
      </c>
      <c r="T2" s="300" t="s">
        <v>120</v>
      </c>
      <c r="U2" s="302"/>
      <c r="V2" s="2272"/>
      <c r="W2" s="2272"/>
      <c r="X2" s="2272"/>
      <c r="Y2" s="2272"/>
      <c r="Z2" s="2272"/>
      <c r="AA2" s="2272"/>
      <c r="AB2" s="2272"/>
      <c r="AC2" s="2273"/>
      <c r="AD2" s="2271">
        <f>INDEX(PT_DIFFERENTIATION_NTAR,MATCH(A2,PT_DIFFERENTIATION_NTAR_ID,0))</f>
      </c>
      <c r="AE2" s="2272"/>
      <c r="AF2" s="2272"/>
      <c r="AG2" s="2272"/>
      <c r="AH2" s="2272"/>
      <c r="AI2" s="2272"/>
      <c r="AJ2" s="2272"/>
      <c r="AK2" s="2272"/>
      <c r="AL2" s="2272"/>
      <c r="AM2" s="2272"/>
      <c r="AN2" s="2272"/>
      <c r="AO2" s="2272"/>
      <c r="AP2" s="2272"/>
      <c r="AQ2" s="2272"/>
      <c r="AR2" s="2272"/>
      <c r="AS2" s="2272"/>
      <c r="AT2" s="2272"/>
      <c r="AU2" s="2272"/>
      <c r="AV2" s="2272"/>
      <c r="AW2" s="2272"/>
      <c r="AX2" s="2272"/>
      <c r="AY2" s="2272"/>
      <c r="AZ2" s="2272"/>
      <c r="BA2" s="2272"/>
      <c r="BB2" s="2273"/>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78"/>
      <c r="F3" s="2277">
        <v>1</v>
      </c>
      <c r="G3" s="1365"/>
      <c r="H3" s="1365"/>
      <c r="I3" s="1365"/>
      <c r="J3" s="1365"/>
      <c r="K3" s="1365"/>
      <c r="L3" s="1366"/>
      <c r="M3" s="1367"/>
      <c r="N3" s="1367"/>
      <c r="O3" s="1367"/>
      <c r="P3" s="1412"/>
      <c r="Q3" s="1413"/>
      <c r="R3" s="355"/>
      <c r="S3" s="1467">
        <f>INDEX(PT_DIFFERENTIATION_NUM_TER,MATCH(B3,PT_DIFFERENTIATION_TER_ID,0))</f>
      </c>
      <c r="T3" s="310" t="s">
        <v>392</v>
      </c>
      <c r="U3" s="302"/>
      <c r="V3" s="2272"/>
      <c r="W3" s="2272"/>
      <c r="X3" s="2272"/>
      <c r="Y3" s="2272"/>
      <c r="Z3" s="2272"/>
      <c r="AA3" s="2272"/>
      <c r="AB3" s="2272"/>
      <c r="AC3" s="2273"/>
      <c r="AD3" s="2271">
        <f>INDEX(PT_DIFFERENTIATION_TER,MATCH(B3,PT_DIFFERENTIATION_TER_ID,0))</f>
      </c>
      <c r="AE3" s="2272"/>
      <c r="AF3" s="2272"/>
      <c r="AG3" s="2272"/>
      <c r="AH3" s="2272"/>
      <c r="AI3" s="2272"/>
      <c r="AJ3" s="2272"/>
      <c r="AK3" s="2272"/>
      <c r="AL3" s="2272"/>
      <c r="AM3" s="2272"/>
      <c r="AN3" s="2272"/>
      <c r="AO3" s="2272"/>
      <c r="AP3" s="2272"/>
      <c r="AQ3" s="2272"/>
      <c r="AR3" s="2272"/>
      <c r="AS3" s="2272"/>
      <c r="AT3" s="2272"/>
      <c r="AU3" s="2272"/>
      <c r="AV3" s="2272"/>
      <c r="AW3" s="2272"/>
      <c r="AX3" s="2272"/>
      <c r="AY3" s="2272"/>
      <c r="AZ3" s="2272"/>
      <c r="BA3" s="2272"/>
      <c r="BB3" s="2273"/>
      <c r="BC3" s="1260" t="s">
        <v>393</v>
      </c>
      <c r="BE3" s="502"/>
      <c r="BF3" s="502" t="str">
        <f>IF(T3="","",T3)</f>
        <v>Территория действия тарифа</v>
      </c>
      <c r="BG3" s="502"/>
      <c r="BH3" s="502"/>
      <c r="BI3" s="1157">
        <v>0</v>
      </c>
    </row>
    <row customHeight="1" ht="42" hidden="1">
      <c r="A4" s="1365"/>
      <c r="B4" s="1365"/>
      <c r="C4" s="1365"/>
      <c r="D4" s="1365"/>
      <c r="E4" s="2278"/>
      <c r="F4" s="2278"/>
      <c r="G4" s="2277">
        <v>1</v>
      </c>
      <c r="H4" s="1365"/>
      <c r="I4" s="1365"/>
      <c r="J4" s="1365"/>
      <c r="K4" s="1365"/>
      <c r="L4" s="1366"/>
      <c r="M4" s="1367"/>
      <c r="N4" s="1367"/>
      <c r="O4" s="1367"/>
      <c r="P4" s="1414"/>
      <c r="Q4" s="1413"/>
      <c r="R4" s="355"/>
      <c r="S4" s="1467">
        <f>INDEX(PT_DIFFERENTIATION_NUM_CS,MATCH(C4,PT_DIFFERENTIATION_CS_ID,0))</f>
      </c>
      <c r="T4" s="311" t="s">
        <v>474</v>
      </c>
      <c r="U4" s="302"/>
      <c r="V4" s="2272"/>
      <c r="W4" s="2272"/>
      <c r="X4" s="2272"/>
      <c r="Y4" s="2272"/>
      <c r="Z4" s="2272"/>
      <c r="AA4" s="2272"/>
      <c r="AB4" s="2272"/>
      <c r="AC4" s="2273"/>
      <c r="AD4" s="2271">
        <f>INDEX(PT_DIFFERENTIATION_CS,MATCH(C4,PT_DIFFERENTIATION_CS_ID,0))</f>
      </c>
      <c r="AE4" s="2272"/>
      <c r="AF4" s="2272"/>
      <c r="AG4" s="2272"/>
      <c r="AH4" s="2272"/>
      <c r="AI4" s="2272"/>
      <c r="AJ4" s="2272"/>
      <c r="AK4" s="2272"/>
      <c r="AL4" s="2272"/>
      <c r="AM4" s="2272"/>
      <c r="AN4" s="2272"/>
      <c r="AO4" s="2272"/>
      <c r="AP4" s="2272"/>
      <c r="AQ4" s="2272"/>
      <c r="AR4" s="2272"/>
      <c r="AS4" s="2272"/>
      <c r="AT4" s="2272"/>
      <c r="AU4" s="2272"/>
      <c r="AV4" s="2272"/>
      <c r="AW4" s="2272"/>
      <c r="AX4" s="2272"/>
      <c r="AY4" s="2272"/>
      <c r="AZ4" s="2272"/>
      <c r="BA4" s="2272"/>
      <c r="BB4" s="2273"/>
      <c r="BC4" s="1260" t="s">
        <v>475</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78"/>
      <c r="F5" s="2278"/>
      <c r="G5" s="2278"/>
      <c r="H5" s="2277">
        <v>1</v>
      </c>
      <c r="I5" s="1345"/>
      <c r="J5" s="1345"/>
      <c r="K5" s="1345"/>
      <c r="L5" s="1348"/>
      <c r="M5" s="1317"/>
      <c r="N5" s="1317"/>
      <c r="O5" s="1317"/>
      <c r="P5" s="1499"/>
      <c r="Q5" s="1500"/>
      <c r="R5" s="359"/>
      <c r="S5" s="1044"/>
      <c r="T5" s="1501"/>
      <c r="U5" s="1386"/>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387" t="s">
        <v>397</v>
      </c>
      <c r="BE5" s="502"/>
      <c r="BF5" s="502" t="str">
        <f>IF(T5="","",T5)</f>
        <v/>
      </c>
      <c r="BG5" s="502"/>
      <c r="BH5" s="502"/>
      <c r="BI5" s="513">
        <v>0</v>
      </c>
    </row>
    <row s="1644" customFormat="1" customHeight="1" ht="14.25" hidden="1">
      <c r="A6" s="1345"/>
      <c r="B6" s="1345"/>
      <c r="C6" s="1345"/>
      <c r="D6" s="1345"/>
      <c r="E6" s="2278"/>
      <c r="F6" s="2278"/>
      <c r="G6" s="2278"/>
      <c r="H6" s="2278"/>
      <c r="I6" s="2279" t="str">
        <f>S5&amp;".1"</f>
        <v>.1</v>
      </c>
      <c r="J6" s="1345"/>
      <c r="K6" s="1345"/>
      <c r="L6" s="1348" t="s">
        <v>398</v>
      </c>
      <c r="M6" s="512"/>
      <c r="N6" s="512"/>
      <c r="O6" s="512"/>
      <c r="P6" s="2281">
        <v>1</v>
      </c>
      <c r="Q6" s="1464"/>
      <c r="R6" s="358"/>
      <c r="S6" s="1044"/>
      <c r="T6" s="1385"/>
      <c r="U6" s="1386"/>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387"/>
      <c r="BE6" s="502"/>
      <c r="BF6" s="502" t="str">
        <f>IF(T6="","",T6)</f>
        <v/>
      </c>
      <c r="BG6" s="502"/>
      <c r="BH6" s="502"/>
      <c r="BI6" s="513">
        <v>0</v>
      </c>
    </row>
    <row s="1644" customFormat="1" customHeight="1" ht="14.25" hidden="1">
      <c r="A7" s="1345"/>
      <c r="B7" s="1345"/>
      <c r="C7" s="1345"/>
      <c r="D7" s="1345"/>
      <c r="E7" s="2278"/>
      <c r="F7" s="2278"/>
      <c r="G7" s="2278"/>
      <c r="H7" s="2278"/>
      <c r="I7" s="2280"/>
      <c r="J7" s="2279" t="str">
        <f>S5&amp;".1"</f>
        <v>.1</v>
      </c>
      <c r="K7" s="1345"/>
      <c r="L7" s="1348"/>
      <c r="M7" s="512"/>
      <c r="N7" s="512"/>
      <c r="O7" s="512"/>
      <c r="P7" s="2281"/>
      <c r="Q7" s="2281">
        <v>1</v>
      </c>
      <c r="R7" s="359"/>
      <c r="S7" s="1044"/>
      <c r="T7" s="1401"/>
      <c r="U7" s="1386"/>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387"/>
      <c r="BE7" s="502"/>
      <c r="BF7" s="502" t="str">
        <f>IF(T7="","",T7)</f>
        <v/>
      </c>
      <c r="BG7" s="502"/>
      <c r="BH7" s="502"/>
      <c r="BI7" s="513">
        <v>0</v>
      </c>
    </row>
    <row customHeight="1" ht="11.25" hidden="1">
      <c r="A8" s="1365"/>
      <c r="B8" s="1365"/>
      <c r="C8" s="1365"/>
      <c r="D8" s="1365"/>
      <c r="E8" s="2278"/>
      <c r="F8" s="2278"/>
      <c r="G8" s="2278"/>
      <c r="H8" s="2278"/>
      <c r="I8" s="2280"/>
      <c r="J8" s="2280"/>
      <c r="K8" s="2279">
        <f>S4&amp;".1"</f>
      </c>
      <c r="L8" s="1366"/>
      <c r="P8" s="2281"/>
      <c r="Q8" s="2281"/>
      <c r="R8" s="2364">
        <v>1</v>
      </c>
      <c r="S8" s="2361">
        <f>$K8</f>
      </c>
      <c r="T8" s="2383"/>
      <c r="U8" s="302"/>
      <c r="V8" s="753"/>
      <c r="W8" s="1259"/>
      <c r="X8" s="753"/>
      <c r="Y8" s="1259"/>
      <c r="Z8" s="1735"/>
      <c r="AA8" s="1461" t="s">
        <v>65</v>
      </c>
      <c r="AB8" s="1735"/>
      <c r="AC8" s="1461" t="s">
        <v>65</v>
      </c>
      <c r="AD8" s="2215" t="s">
        <v>65</v>
      </c>
      <c r="AE8" s="2357"/>
      <c r="AF8" s="2228">
        <v>1</v>
      </c>
      <c r="AG8" s="2382"/>
      <c r="AH8" s="2150" t="s">
        <v>65</v>
      </c>
      <c r="AI8" s="2357"/>
      <c r="AJ8" s="2228">
        <v>1</v>
      </c>
      <c r="AK8" s="2371" t="s">
        <v>22</v>
      </c>
      <c r="AL8" s="2150" t="s">
        <v>65</v>
      </c>
      <c r="AM8" s="2200"/>
      <c r="AN8" s="2228">
        <v>1</v>
      </c>
      <c r="AO8" s="2386"/>
      <c r="AP8" s="2387" t="s">
        <v>65</v>
      </c>
      <c r="AQ8" s="313"/>
      <c r="AR8" s="1465">
        <v>1</v>
      </c>
      <c r="AS8" s="1468" t="s">
        <v>22</v>
      </c>
      <c r="AT8" s="753"/>
      <c r="AU8" s="1259"/>
      <c r="AV8" s="753"/>
      <c r="AW8" s="1259"/>
      <c r="AX8" s="1735"/>
      <c r="AY8" s="1461" t="s">
        <v>65</v>
      </c>
      <c r="AZ8" s="1735"/>
      <c r="BA8" s="1461" t="s">
        <v>65</v>
      </c>
      <c r="BB8" s="1350"/>
      <c r="BC8" s="2307" t="s">
        <v>492</v>
      </c>
      <c r="BE8" s="502"/>
      <c r="BF8" s="502" t="str">
        <f>IF(T8="","",T8)</f>
        <v/>
      </c>
      <c r="BG8" s="502"/>
      <c r="BH8" s="502"/>
      <c r="BI8" s="1157">
        <v>0</v>
      </c>
    </row>
    <row customHeight="1" ht="11.25" hidden="1">
      <c r="A9" s="1365"/>
      <c r="B9" s="1365"/>
      <c r="C9" s="1365"/>
      <c r="D9" s="1365"/>
      <c r="E9" s="2278"/>
      <c r="F9" s="2278"/>
      <c r="G9" s="2278"/>
      <c r="H9" s="2278"/>
      <c r="I9" s="2280"/>
      <c r="J9" s="2280"/>
      <c r="K9" s="2279"/>
      <c r="L9" s="1366"/>
      <c r="P9" s="2281"/>
      <c r="Q9" s="2281"/>
      <c r="R9" s="2364"/>
      <c r="S9" s="2362"/>
      <c r="T9" s="2384"/>
      <c r="U9" s="302"/>
      <c r="V9" s="1395"/>
      <c r="W9" s="1498"/>
      <c r="X9" s="1395"/>
      <c r="Y9" s="1498"/>
      <c r="Z9" s="1395"/>
      <c r="AA9" s="1395"/>
      <c r="AB9" s="1395"/>
      <c r="AC9" s="1395"/>
      <c r="AD9" s="2216"/>
      <c r="AE9" s="2357"/>
      <c r="AF9" s="2228"/>
      <c r="AG9" s="2382"/>
      <c r="AH9" s="2150"/>
      <c r="AI9" s="2357"/>
      <c r="AJ9" s="2228"/>
      <c r="AK9" s="2371"/>
      <c r="AL9" s="2150"/>
      <c r="AM9" s="2208"/>
      <c r="AN9" s="2228"/>
      <c r="AO9" s="2386"/>
      <c r="AP9" s="2388"/>
      <c r="AQ9" s="318"/>
      <c r="AR9" s="418"/>
      <c r="AS9" s="418" t="s">
        <v>493</v>
      </c>
      <c r="AT9" s="1395"/>
      <c r="AU9" s="1498"/>
      <c r="AV9" s="1395"/>
      <c r="AW9" s="1498"/>
      <c r="AX9" s="1395"/>
      <c r="AY9" s="1395"/>
      <c r="AZ9" s="1395"/>
      <c r="BA9" s="1395"/>
      <c r="BB9" s="1399"/>
      <c r="BC9" s="2308"/>
      <c r="BE9" s="502"/>
      <c r="BF9" s="502"/>
      <c r="BG9" s="502"/>
      <c r="BH9" s="502"/>
      <c r="BI9" s="1157">
        <v>0</v>
      </c>
    </row>
    <row customHeight="1" ht="11.25" hidden="1">
      <c r="A10" s="1365"/>
      <c r="B10" s="1365"/>
      <c r="C10" s="1365"/>
      <c r="D10" s="1365"/>
      <c r="E10" s="2278"/>
      <c r="F10" s="2278"/>
      <c r="G10" s="2278"/>
      <c r="H10" s="2278"/>
      <c r="I10" s="2280"/>
      <c r="J10" s="2280"/>
      <c r="K10" s="2279"/>
      <c r="L10" s="1366"/>
      <c r="P10" s="2281"/>
      <c r="Q10" s="2281"/>
      <c r="R10" s="2364"/>
      <c r="S10" s="2362"/>
      <c r="T10" s="2384"/>
      <c r="U10" s="302"/>
      <c r="V10" s="1395"/>
      <c r="W10" s="1498"/>
      <c r="X10" s="1395"/>
      <c r="Y10" s="1498"/>
      <c r="Z10" s="1395"/>
      <c r="AA10" s="1395"/>
      <c r="AB10" s="1395"/>
      <c r="AC10" s="1395"/>
      <c r="AD10" s="2216"/>
      <c r="AE10" s="2357"/>
      <c r="AF10" s="2228"/>
      <c r="AG10" s="2382"/>
      <c r="AH10" s="2150"/>
      <c r="AI10" s="2357"/>
      <c r="AJ10" s="2228"/>
      <c r="AK10" s="2371"/>
      <c r="AL10" s="2150"/>
      <c r="AM10" s="318"/>
      <c r="AN10" s="1502"/>
      <c r="AO10" s="1502" t="s">
        <v>494</v>
      </c>
      <c r="AP10" s="418"/>
      <c r="AQ10" s="418"/>
      <c r="AR10" s="418"/>
      <c r="AS10" s="1395"/>
      <c r="AT10" s="1395"/>
      <c r="AU10" s="1498"/>
      <c r="AV10" s="1395"/>
      <c r="AW10" s="1498"/>
      <c r="AX10" s="1395"/>
      <c r="AY10" s="1395"/>
      <c r="AZ10" s="1395"/>
      <c r="BA10" s="1395"/>
      <c r="BB10" s="1399"/>
      <c r="BC10" s="2308"/>
      <c r="BE10" s="502"/>
      <c r="BF10" s="502"/>
      <c r="BG10" s="502"/>
      <c r="BH10" s="502"/>
      <c r="BI10" s="1157">
        <v>0</v>
      </c>
    </row>
    <row customHeight="1" ht="11.25" hidden="1">
      <c r="A11" s="1365"/>
      <c r="B11" s="1365"/>
      <c r="C11" s="1365"/>
      <c r="D11" s="1365"/>
      <c r="E11" s="2278"/>
      <c r="F11" s="2278"/>
      <c r="G11" s="2278"/>
      <c r="H11" s="2278"/>
      <c r="I11" s="2280"/>
      <c r="J11" s="2280"/>
      <c r="K11" s="2279"/>
      <c r="L11" s="1366"/>
      <c r="P11" s="2281"/>
      <c r="Q11" s="2281"/>
      <c r="R11" s="2364"/>
      <c r="S11" s="2362"/>
      <c r="T11" s="2384"/>
      <c r="U11" s="302"/>
      <c r="V11" s="1395"/>
      <c r="W11" s="1498"/>
      <c r="X11" s="1395"/>
      <c r="Y11" s="1498"/>
      <c r="Z11" s="1395"/>
      <c r="AA11" s="1395"/>
      <c r="AB11" s="1395"/>
      <c r="AC11" s="1395"/>
      <c r="AD11" s="2216"/>
      <c r="AE11" s="2357"/>
      <c r="AF11" s="2228"/>
      <c r="AG11" s="2382"/>
      <c r="AH11" s="2150"/>
      <c r="AI11" s="296"/>
      <c r="AJ11" s="417"/>
      <c r="AK11" s="315" t="s">
        <v>495</v>
      </c>
      <c r="AL11" s="1395"/>
      <c r="AM11" s="1395"/>
      <c r="AN11" s="1395"/>
      <c r="AO11" s="1395"/>
      <c r="AP11" s="1395"/>
      <c r="AQ11" s="1395"/>
      <c r="AR11" s="1395"/>
      <c r="AS11" s="1395"/>
      <c r="AT11" s="1395"/>
      <c r="AU11" s="1498"/>
      <c r="AV11" s="1395"/>
      <c r="AW11" s="1498"/>
      <c r="AX11" s="1395"/>
      <c r="AY11" s="1395"/>
      <c r="AZ11" s="1395"/>
      <c r="BA11" s="1395"/>
      <c r="BB11" s="1399"/>
      <c r="BC11" s="2308"/>
      <c r="BE11" s="502"/>
      <c r="BF11" s="502"/>
      <c r="BG11" s="502"/>
      <c r="BH11" s="502"/>
      <c r="BI11" s="1157">
        <v>0</v>
      </c>
    </row>
    <row customHeight="1" ht="11.25" hidden="1">
      <c r="A12" s="1365"/>
      <c r="B12" s="1365"/>
      <c r="C12" s="1365"/>
      <c r="D12" s="1365"/>
      <c r="E12" s="2278"/>
      <c r="F12" s="2278"/>
      <c r="G12" s="2278"/>
      <c r="H12" s="2278"/>
      <c r="I12" s="2280"/>
      <c r="J12" s="2280"/>
      <c r="K12" s="2279"/>
      <c r="L12" s="1366"/>
      <c r="P12" s="2281"/>
      <c r="Q12" s="2281"/>
      <c r="R12" s="2364"/>
      <c r="S12" s="2363"/>
      <c r="T12" s="2385"/>
      <c r="U12" s="302"/>
      <c r="V12" s="1395"/>
      <c r="W12" s="1396" t="str">
        <f>Z8&amp;"-"&amp;AB8</f>
        <v>-</v>
      </c>
      <c r="X12" s="1395"/>
      <c r="Y12" s="1396" t="str">
        <f>AB8&amp;"-"&amp;AD8</f>
        <v>-да</v>
      </c>
      <c r="Z12" s="1395"/>
      <c r="AA12" s="1395"/>
      <c r="AB12" s="1395"/>
      <c r="AC12" s="1395"/>
      <c r="AD12" s="2155"/>
      <c r="AE12" s="314"/>
      <c r="AF12" s="316"/>
      <c r="AG12" s="418" t="s">
        <v>496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308"/>
      <c r="BE12" s="502"/>
      <c r="BF12" s="502" t="str">
        <f>IF(T12="","",T12)</f>
        <v/>
      </c>
      <c r="BG12" s="502"/>
      <c r="BH12" s="502"/>
      <c r="BI12" s="1157">
        <v>0</v>
      </c>
    </row>
    <row customHeight="1" ht="11.25" hidden="1">
      <c r="A13" s="1365"/>
      <c r="B13" s="1365"/>
      <c r="C13" s="1365"/>
      <c r="D13" s="1365"/>
      <c r="E13" s="2278"/>
      <c r="F13" s="2278"/>
      <c r="G13" s="2278"/>
      <c r="H13" s="2278"/>
      <c r="I13" s="2280"/>
      <c r="J13" s="2279"/>
      <c r="K13" s="1365"/>
      <c r="L13" s="1366"/>
      <c r="P13" s="2281"/>
      <c r="Q13" s="2281"/>
      <c r="R13" s="358"/>
      <c r="S13" s="1280"/>
      <c r="T13" s="289" t="s">
        <v>459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309"/>
      <c r="BE13" s="502"/>
      <c r="BF13" s="502" t="str">
        <f>IF(T13="","",T13)</f>
        <v>Добавить строку</v>
      </c>
      <c r="BG13" s="502"/>
      <c r="BH13" s="502"/>
      <c r="BI13" s="1157">
        <v>0</v>
      </c>
    </row>
    <row s="1644" customFormat="1" customHeight="1" ht="14.25" hidden="1">
      <c r="A14" s="1345"/>
      <c r="B14" s="1345"/>
      <c r="C14" s="1345"/>
      <c r="D14" s="1345"/>
      <c r="E14" s="2278"/>
      <c r="F14" s="2278"/>
      <c r="G14" s="2278"/>
      <c r="H14" s="2278"/>
      <c r="I14" s="2279"/>
      <c r="J14" s="1345"/>
      <c r="K14" s="1345"/>
      <c r="L14" s="1348"/>
      <c r="M14" s="512"/>
      <c r="N14" s="512"/>
      <c r="O14" s="512"/>
      <c r="P14" s="2281"/>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78"/>
      <c r="F15" s="2278"/>
      <c r="G15" s="2278"/>
      <c r="H15" s="2277"/>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78"/>
      <c r="F16" s="2278"/>
      <c r="G16" s="2277"/>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78"/>
      <c r="F17" s="2277"/>
      <c r="G17" s="1316"/>
      <c r="H17" s="1316"/>
      <c r="I17" s="1316"/>
      <c r="J17" s="1316"/>
      <c r="K17" s="1316"/>
      <c r="L17" s="1466"/>
      <c r="M17" s="1323"/>
      <c r="N17" s="1323"/>
      <c r="P17" s="1318"/>
      <c r="Q17" s="1319"/>
      <c r="R17" s="1318"/>
      <c r="S17" s="1324"/>
      <c r="T17" s="1327" t="s">
        <v>410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77"/>
      <c r="F18" s="1345"/>
      <c r="G18" s="1345"/>
      <c r="H18" s="1345"/>
      <c r="I18" s="1345"/>
      <c r="J18" s="1345"/>
      <c r="K18" s="1345"/>
      <c r="L18" s="1348"/>
      <c r="M18" s="1323"/>
      <c r="N18" s="1323"/>
      <c r="O18" s="520"/>
      <c r="P18" s="382"/>
      <c r="Q18" s="1346"/>
      <c r="R18" s="382"/>
      <c r="S18" s="1324"/>
      <c r="T18" s="1327" t="s">
        <v>411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7"/>
      <c r="AY20" s="1462" t="s">
        <v>65</v>
      </c>
      <c r="AZ20" s="1737"/>
      <c r="BA20" s="1462" t="s">
        <v>65</v>
      </c>
      <c r="BI20" s="1157">
        <v>0</v>
      </c>
    </row>
    <row customHeight="1" ht="14.25" hidden="1">
      <c r="BD21" s="498"/>
      <c r="BE21" s="498"/>
      <c r="BF21" s="498"/>
      <c r="BG21" s="498"/>
      <c r="BH21" s="498"/>
      <c r="BI21" s="1157">
        <v>0</v>
      </c>
    </row>
    <row customHeight="1" ht="14.25" hidden="1">
      <c r="O22" s="1369" t="s">
        <v>412</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413</v>
      </c>
      <c r="P24" s="1510"/>
      <c r="Q24" s="1512"/>
      <c r="R24" s="1512"/>
      <c r="AA24" s="1509" t="s">
        <v>415</v>
      </c>
      <c r="AC24" s="1509" t="s">
        <v>416</v>
      </c>
      <c r="AD24" s="1509" t="s">
        <v>460</v>
      </c>
      <c r="AH24" s="1509" t="s">
        <v>460</v>
      </c>
      <c r="AK24" s="1509" t="s">
        <v>497</v>
      </c>
      <c r="AL24" s="1509" t="s">
        <v>460</v>
      </c>
      <c r="AP24" s="1509" t="s">
        <v>460</v>
      </c>
      <c r="AY24" s="1509" t="s">
        <v>415</v>
      </c>
      <c r="BA24" s="1509" t="s">
        <v>416</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31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10"/>
      <c r="U28" s="2310"/>
      <c r="V28" s="2310"/>
      <c r="W28" s="2310"/>
      <c r="X28" s="2310"/>
      <c r="Y28" s="2310"/>
      <c r="Z28" s="2310"/>
      <c r="AA28" s="2310"/>
      <c r="AB28" s="2310"/>
      <c r="AC28" s="2310"/>
      <c r="AD28" s="2310"/>
      <c r="AE28" s="2310"/>
      <c r="AF28" s="2310"/>
      <c r="AG28" s="2310"/>
      <c r="AH28" s="2310"/>
      <c r="AI28" s="2310"/>
      <c r="AJ28" s="2310"/>
      <c r="AK28" s="2310"/>
      <c r="AL28" s="2310"/>
      <c r="AM28" s="2310"/>
      <c r="AN28" s="2310"/>
      <c r="AO28" s="2310"/>
      <c r="AP28" s="2310"/>
      <c r="AQ28" s="2310"/>
      <c r="AR28" s="2310"/>
      <c r="AS28" s="2310"/>
      <c r="AT28" s="2310"/>
      <c r="AU28" s="2310"/>
      <c r="AV28" s="2310"/>
      <c r="AW28" s="2310"/>
      <c r="AX28" s="2310"/>
      <c r="AY28" s="2310"/>
      <c r="AZ28" s="2310"/>
      <c r="BA28" s="1245"/>
      <c r="BI28" s="1157">
        <v>14</v>
      </c>
    </row>
    <row customHeight="1" ht="14.699999999999998">
      <c r="Q29" s="293"/>
      <c r="R29" s="378"/>
      <c r="S29" s="2311" t="str">
        <f>IF(org=0,"Не определено",org)</f>
        <v>Муниципальное унитарное предприятие "Невельские коммунальные сети"</v>
      </c>
      <c r="T29" s="2311"/>
      <c r="U29" s="2311"/>
      <c r="V29" s="2311"/>
      <c r="W29" s="2311"/>
      <c r="X29" s="2311"/>
      <c r="Y29" s="2311"/>
      <c r="Z29" s="2311"/>
      <c r="AA29" s="2311"/>
      <c r="AB29" s="2311"/>
      <c r="AC29" s="2311"/>
      <c r="AD29" s="2311"/>
      <c r="AE29" s="2311"/>
      <c r="AF29" s="2311"/>
      <c r="AG29" s="2311"/>
      <c r="AH29" s="2311"/>
      <c r="AI29" s="2311"/>
      <c r="AJ29" s="2311"/>
      <c r="AK29" s="2311"/>
      <c r="AL29" s="2311"/>
      <c r="AM29" s="2311"/>
      <c r="AN29" s="2311"/>
      <c r="AO29" s="2311"/>
      <c r="AP29" s="2311"/>
      <c r="AQ29" s="2311"/>
      <c r="AR29" s="2311"/>
      <c r="AS29" s="2311"/>
      <c r="AT29" s="2311"/>
      <c r="AU29" s="2311"/>
      <c r="AV29" s="2311"/>
      <c r="AW29" s="2311"/>
      <c r="AX29" s="2311"/>
      <c r="AY29" s="2311"/>
      <c r="AZ29" s="231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2" customFormat="1" customHeight="1" ht="25.5" hidden="1">
      <c r="A31" s="1370"/>
      <c r="B31" s="1370"/>
      <c r="C31" s="1370"/>
      <c r="D31" s="1370"/>
      <c r="E31" s="1370"/>
      <c r="F31" s="1370"/>
      <c r="G31" s="1370"/>
      <c r="H31" s="1370"/>
      <c r="I31" s="1370"/>
      <c r="J31" s="1370"/>
      <c r="K31" s="1370"/>
      <c r="L31" s="1371"/>
      <c r="M31" s="1370"/>
      <c r="N31" s="1370"/>
      <c r="O31" s="1370"/>
      <c r="P31" s="1370"/>
      <c r="Q31" s="1370"/>
      <c r="S31" s="2268" t="s">
        <v>42</v>
      </c>
      <c r="T31" s="2268"/>
      <c r="U31" s="1374"/>
      <c r="V31" s="2270" t="str">
        <f>IF(TITLE_NAME_OR_PR_CHANGE="",IF(TITLE_NAME_OR_PR="","",TITLE_NAME_OR_PR),TITLE_NAME_OR_PR_CHANGE)</f>
        <v/>
      </c>
      <c r="W31" s="2270"/>
      <c r="X31" s="2270"/>
      <c r="Y31" s="2270"/>
      <c r="Z31" s="2270"/>
      <c r="AA31" s="2270"/>
      <c r="AB31" s="2270"/>
      <c r="AC31" s="328"/>
      <c r="AD31" s="2270" t="str">
        <f>IF(TITLE_NAME_OR_PR_CHANGE="",IF(TITLE_NAME_OR_PR="","",TITLE_NAME_OR_PR),TITLE_NAME_OR_PR_CHANGE)</f>
        <v/>
      </c>
      <c r="AE31" s="2270"/>
      <c r="AF31" s="2270"/>
      <c r="AG31" s="2270"/>
      <c r="AH31" s="2270"/>
      <c r="AI31" s="2270"/>
      <c r="AJ31" s="2270"/>
      <c r="AK31" s="2270"/>
      <c r="AL31" s="2270"/>
      <c r="AM31" s="2270"/>
      <c r="AN31" s="2270"/>
      <c r="AO31" s="2270"/>
      <c r="AP31" s="2270"/>
      <c r="AQ31" s="2270"/>
      <c r="AR31" s="2270"/>
      <c r="AS31" s="2270"/>
      <c r="AT31" s="2270"/>
      <c r="AU31" s="2270"/>
      <c r="AV31" s="2270"/>
      <c r="AW31" s="2270"/>
      <c r="AX31" s="2270"/>
      <c r="AY31" s="2270"/>
      <c r="AZ31" s="2270"/>
      <c r="BA31" s="328"/>
      <c r="BB31" s="328"/>
      <c r="BC31" s="282"/>
      <c r="BD31" s="370"/>
      <c r="BE31" s="370"/>
      <c r="BF31" s="370"/>
      <c r="BG31" s="370"/>
      <c r="BH31" s="370"/>
      <c r="BI31" s="420">
        <v>0</v>
      </c>
    </row>
    <row s="1852" customFormat="1" customHeight="1" ht="18.75" hidden="1">
      <c r="A32" s="1370"/>
      <c r="B32" s="1370"/>
      <c r="C32" s="1370"/>
      <c r="D32" s="1370"/>
      <c r="E32" s="1370"/>
      <c r="F32" s="1370"/>
      <c r="G32" s="1370"/>
      <c r="H32" s="1370"/>
      <c r="I32" s="1370"/>
      <c r="J32" s="1370"/>
      <c r="K32" s="1370"/>
      <c r="L32" s="1371"/>
      <c r="M32" s="1370"/>
      <c r="N32" s="1370"/>
      <c r="O32" s="1370"/>
      <c r="P32" s="1370"/>
      <c r="Q32" s="1370"/>
      <c r="S32" s="2268" t="s">
        <v>498</v>
      </c>
      <c r="T32" s="2268"/>
      <c r="U32" s="1374"/>
      <c r="V32" s="2269" t="str">
        <f>IF(TITLE_DATE_PR_CHANGE="",IF(TITLE_DATE_PR="","",TITLE_DATE_PR),TITLE_DATE_PR_CHANGE)</f>
        <v/>
      </c>
      <c r="W32" s="2269"/>
      <c r="X32" s="2269"/>
      <c r="Y32" s="2269"/>
      <c r="Z32" s="2269"/>
      <c r="AA32" s="2269"/>
      <c r="AB32" s="2269"/>
      <c r="AC32" s="328"/>
      <c r="AD32" s="2269" t="str">
        <f>IF(TITLE_DATE_PR_CHANGE="",IF(TITLE_DATE_PR="","",TITLE_DATE_PR),TITLE_DATE_PR_CHANGE)</f>
        <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28"/>
      <c r="BB32" s="328"/>
      <c r="BC32" s="282"/>
      <c r="BD32" s="370"/>
      <c r="BE32" s="370"/>
      <c r="BF32" s="370"/>
      <c r="BG32" s="370"/>
      <c r="BH32" s="370"/>
      <c r="BI32" s="420">
        <v>0</v>
      </c>
    </row>
    <row s="1852" customFormat="1" customHeight="1" ht="18.75" hidden="1">
      <c r="A33" s="1370"/>
      <c r="B33" s="1370"/>
      <c r="C33" s="1370"/>
      <c r="D33" s="1370"/>
      <c r="E33" s="1370"/>
      <c r="F33" s="1370"/>
      <c r="G33" s="1370"/>
      <c r="H33" s="1370"/>
      <c r="I33" s="1370"/>
      <c r="J33" s="1370"/>
      <c r="K33" s="1370"/>
      <c r="L33" s="1371"/>
      <c r="M33" s="1370"/>
      <c r="N33" s="1370"/>
      <c r="O33" s="1370"/>
      <c r="P33" s="1370"/>
      <c r="Q33" s="1370"/>
      <c r="S33" s="2268" t="s">
        <v>499</v>
      </c>
      <c r="T33" s="2268"/>
      <c r="U33" s="1374"/>
      <c r="V33" s="2270" t="str">
        <f>IF(TITLE_NUMBER_PR_CHANGE="",IF(TITLE_NUMBER_PR="","",TITLE_NUMBER_PR),TITLE_NUMBER_PR_CHANGE)</f>
        <v/>
      </c>
      <c r="W33" s="2270"/>
      <c r="X33" s="2270"/>
      <c r="Y33" s="2270"/>
      <c r="Z33" s="2270"/>
      <c r="AA33" s="2270"/>
      <c r="AB33" s="2270"/>
      <c r="AC33" s="328"/>
      <c r="AD33" s="2270" t="str">
        <f>IF(TITLE_NUMBER_PR_CHANGE="",IF(TITLE_NUMBER_PR="","",TITLE_NUMBER_PR),TITLE_NUMBER_PR_CHANGE)</f>
        <v/>
      </c>
      <c r="AE33" s="2270"/>
      <c r="AF33" s="2270"/>
      <c r="AG33" s="2270"/>
      <c r="AH33" s="2270"/>
      <c r="AI33" s="2270"/>
      <c r="AJ33" s="2270"/>
      <c r="AK33" s="2270"/>
      <c r="AL33" s="2270"/>
      <c r="AM33" s="2270"/>
      <c r="AN33" s="2270"/>
      <c r="AO33" s="2270"/>
      <c r="AP33" s="2270"/>
      <c r="AQ33" s="2270"/>
      <c r="AR33" s="2270"/>
      <c r="AS33" s="2270"/>
      <c r="AT33" s="2270"/>
      <c r="AU33" s="2270"/>
      <c r="AV33" s="2270"/>
      <c r="AW33" s="2270"/>
      <c r="AX33" s="2270"/>
      <c r="AY33" s="2270"/>
      <c r="AZ33" s="2270"/>
      <c r="BA33" s="328"/>
      <c r="BB33" s="328"/>
      <c r="BC33" s="282"/>
      <c r="BD33" s="370"/>
      <c r="BE33" s="370"/>
      <c r="BF33" s="370"/>
      <c r="BG33" s="370"/>
      <c r="BH33" s="370"/>
      <c r="BI33" s="420">
        <v>0</v>
      </c>
    </row>
    <row s="1852" customFormat="1" customHeight="1" ht="18.75" hidden="1">
      <c r="A34" s="1370"/>
      <c r="B34" s="1370"/>
      <c r="C34" s="1370"/>
      <c r="D34" s="1370"/>
      <c r="E34" s="1370"/>
      <c r="F34" s="1370"/>
      <c r="G34" s="1370"/>
      <c r="H34" s="1370"/>
      <c r="I34" s="1370"/>
      <c r="J34" s="1370"/>
      <c r="K34" s="1370"/>
      <c r="L34" s="1371"/>
      <c r="M34" s="1370"/>
      <c r="N34" s="1370"/>
      <c r="O34" s="1370"/>
      <c r="P34" s="1370"/>
      <c r="Q34" s="1370"/>
      <c r="S34" s="2268" t="s">
        <v>43</v>
      </c>
      <c r="T34" s="2268"/>
      <c r="U34" s="1374"/>
      <c r="V34" s="2270" t="str">
        <f>IF(TITLE_IST_PUB_CHANGE="",IF(TITLE_IST_PUB="","",TITLE_IST_PUB),TITLE_IST_PUB_CHANGE)</f>
        <v/>
      </c>
      <c r="W34" s="2270"/>
      <c r="X34" s="2270"/>
      <c r="Y34" s="2270"/>
      <c r="Z34" s="2270"/>
      <c r="AA34" s="2270"/>
      <c r="AB34" s="2270"/>
      <c r="AC34" s="328"/>
      <c r="AD34" s="2270" t="str">
        <f>IF(TITLE_IST_PUB_CHANGE="",IF(TITLE_IST_PUB="","",TITLE_IST_PUB),TITLE_IST_PUB_CHANGE)</f>
        <v/>
      </c>
      <c r="AE34" s="2270"/>
      <c r="AF34" s="2270"/>
      <c r="AG34" s="2270"/>
      <c r="AH34" s="2270"/>
      <c r="AI34" s="2270"/>
      <c r="AJ34" s="2270"/>
      <c r="AK34" s="2270"/>
      <c r="AL34" s="2270"/>
      <c r="AM34" s="2270"/>
      <c r="AN34" s="2270"/>
      <c r="AO34" s="2270"/>
      <c r="AP34" s="2270"/>
      <c r="AQ34" s="2270"/>
      <c r="AR34" s="2270"/>
      <c r="AS34" s="2270"/>
      <c r="AT34" s="2270"/>
      <c r="AU34" s="2270"/>
      <c r="AV34" s="2270"/>
      <c r="AW34" s="2270"/>
      <c r="AX34" s="2270"/>
      <c r="AY34" s="2270"/>
      <c r="AZ34" s="2270"/>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2" customFormat="1" customHeight="1" ht="18.75" hidden="1">
      <c r="A36" s="1370"/>
      <c r="B36" s="1370"/>
      <c r="C36" s="1370"/>
      <c r="D36" s="1370"/>
      <c r="E36" s="1370"/>
      <c r="F36" s="1370"/>
      <c r="G36" s="1370"/>
      <c r="H36" s="1370"/>
      <c r="I36" s="1370"/>
      <c r="J36" s="1370"/>
      <c r="K36" s="1370"/>
      <c r="L36" s="1371"/>
      <c r="M36" s="1370"/>
      <c r="N36" s="1370"/>
      <c r="O36" s="1370"/>
      <c r="P36" s="1370"/>
      <c r="Q36" s="1370"/>
      <c r="S36" s="2268" t="s">
        <v>498</v>
      </c>
      <c r="T36" s="2268"/>
      <c r="U36" s="1374"/>
      <c r="V36" s="2269" t="str">
        <f>IF(TITLE_DATE_PR_CHANGE="",IF(TITLE_DATE_PR="","",TITLE_DATE_PR),TITLE_DATE_PR_CHANGE)</f>
        <v/>
      </c>
      <c r="W36" s="2269"/>
      <c r="X36" s="2269"/>
      <c r="Y36" s="2269"/>
      <c r="Z36" s="2269"/>
      <c r="AA36" s="2269"/>
      <c r="AB36" s="2269"/>
      <c r="AC36" s="328"/>
      <c r="AD36" s="2269" t="str">
        <f>IF(TITLE_DATE_PR_CHANGE="",IF(TITLE_DATE_PR="","",TITLE_DATE_PR),TITLE_DATE_PR_CHANGE)</f>
        <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28"/>
      <c r="BB36" s="328"/>
      <c r="BC36" s="282"/>
      <c r="BD36" s="370"/>
      <c r="BE36" s="370"/>
      <c r="BF36" s="370"/>
      <c r="BG36" s="370"/>
      <c r="BH36" s="370"/>
      <c r="BI36" s="420">
        <v>0</v>
      </c>
    </row>
    <row s="1852" customFormat="1" customHeight="1" ht="18.75" hidden="1">
      <c r="A37" s="1370"/>
      <c r="B37" s="1370"/>
      <c r="C37" s="1370"/>
      <c r="D37" s="1370"/>
      <c r="E37" s="1370"/>
      <c r="F37" s="1370"/>
      <c r="G37" s="1370"/>
      <c r="H37" s="1370"/>
      <c r="I37" s="1370"/>
      <c r="J37" s="1370"/>
      <c r="K37" s="1370"/>
      <c r="L37" s="1371"/>
      <c r="M37" s="1370"/>
      <c r="N37" s="1370"/>
      <c r="O37" s="1370"/>
      <c r="P37" s="1370"/>
      <c r="Q37" s="1370"/>
      <c r="S37" s="2268" t="s">
        <v>499</v>
      </c>
      <c r="T37" s="2268"/>
      <c r="U37" s="1374"/>
      <c r="V37" s="2270" t="str">
        <f>IF(TITLE_NUMBER_PR_CHANGE="",IF(TITLE_NUMBER_PR="","",TITLE_NUMBER_PR),TITLE_NUMBER_PR_CHANGE)</f>
        <v/>
      </c>
      <c r="W37" s="2270"/>
      <c r="X37" s="2270"/>
      <c r="Y37" s="2270"/>
      <c r="Z37" s="2270"/>
      <c r="AA37" s="2270"/>
      <c r="AB37" s="2270"/>
      <c r="AC37" s="328"/>
      <c r="AD37" s="2270" t="str">
        <f>IF(TITLE_NUMBER_PR_CHANGE="",IF(TITLE_NUMBER_PR="","",TITLE_NUMBER_PR),TITLE_NUMBER_PR_CHANGE)</f>
        <v/>
      </c>
      <c r="AE37" s="2270"/>
      <c r="AF37" s="2270"/>
      <c r="AG37" s="2270"/>
      <c r="AH37" s="2270"/>
      <c r="AI37" s="2270"/>
      <c r="AJ37" s="2270"/>
      <c r="AK37" s="2270"/>
      <c r="AL37" s="2270"/>
      <c r="AM37" s="2270"/>
      <c r="AN37" s="2270"/>
      <c r="AO37" s="2270"/>
      <c r="AP37" s="2270"/>
      <c r="AQ37" s="2270"/>
      <c r="AR37" s="2270"/>
      <c r="AS37" s="2270"/>
      <c r="AT37" s="2270"/>
      <c r="AU37" s="2270"/>
      <c r="AV37" s="2270"/>
      <c r="AW37" s="2270"/>
      <c r="AX37" s="2270"/>
      <c r="AY37" s="2270"/>
      <c r="AZ37" s="2270"/>
      <c r="BA37" s="328"/>
      <c r="BB37" s="328"/>
      <c r="BC37" s="282"/>
      <c r="BD37" s="370"/>
      <c r="BE37" s="370"/>
      <c r="BF37" s="370"/>
      <c r="BG37" s="370"/>
      <c r="BH37" s="370"/>
      <c r="BI37" s="420">
        <v>0</v>
      </c>
    </row>
    <row s="1852"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418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418</v>
      </c>
      <c r="BD38" s="370"/>
      <c r="BE38" s="370"/>
      <c r="BF38" s="370"/>
      <c r="BG38" s="370"/>
      <c r="BH38" s="370"/>
      <c r="BI38" s="420">
        <v>0</v>
      </c>
    </row>
    <row customHeight="1" ht="14.699999999999998">
      <c r="Q39" s="293"/>
      <c r="R39" s="378"/>
      <c r="S39" s="1277"/>
      <c r="T39" s="365"/>
      <c r="U39" s="1246"/>
      <c r="V39" s="2294"/>
      <c r="W39" s="2294"/>
      <c r="X39" s="2294"/>
      <c r="Y39" s="2294"/>
      <c r="Z39" s="2294"/>
      <c r="AA39" s="2294"/>
      <c r="AB39" s="2294"/>
      <c r="AC39" s="2294"/>
      <c r="AD39" s="2294"/>
      <c r="AE39" s="2294"/>
      <c r="AF39" s="2294"/>
      <c r="AG39" s="2294"/>
      <c r="AH39" s="2294"/>
      <c r="AI39" s="2294"/>
      <c r="AJ39" s="2294"/>
      <c r="AK39" s="2294"/>
      <c r="AL39" s="2294"/>
      <c r="AM39" s="2294"/>
      <c r="AN39" s="2294"/>
      <c r="AO39" s="2294"/>
      <c r="AP39" s="2294"/>
      <c r="AQ39" s="2294"/>
      <c r="AR39" s="2294"/>
      <c r="AS39" s="2294"/>
      <c r="AT39" s="2294"/>
      <c r="AU39" s="2294"/>
      <c r="AV39" s="2294"/>
      <c r="AW39" s="2294"/>
      <c r="AX39" s="2294"/>
      <c r="AY39" s="2294"/>
      <c r="AZ39" s="2294"/>
      <c r="BA39" s="2294"/>
      <c r="BI39" s="1157">
        <v>14</v>
      </c>
    </row>
    <row customHeight="1" ht="14.699999999999998">
      <c r="Q40" s="293"/>
      <c r="R40" s="378"/>
      <c r="S40" s="2140" t="s">
        <v>295</v>
      </c>
      <c r="T40" s="2140"/>
      <c r="U40" s="2140"/>
      <c r="V40" s="2140"/>
      <c r="W40" s="2140"/>
      <c r="X40" s="2140"/>
      <c r="Y40" s="2140"/>
      <c r="Z40" s="2140"/>
      <c r="AA40" s="2140"/>
      <c r="AB40" s="2140"/>
      <c r="AC40" s="2140"/>
      <c r="AD40" s="2140"/>
      <c r="AE40" s="2140"/>
      <c r="AF40" s="2140"/>
      <c r="AG40" s="2140"/>
      <c r="AH40" s="2140"/>
      <c r="AI40" s="2140"/>
      <c r="AJ40" s="2140"/>
      <c r="AK40" s="2140"/>
      <c r="AL40" s="2140"/>
      <c r="AM40" s="2140"/>
      <c r="AN40" s="2140"/>
      <c r="AO40" s="2140"/>
      <c r="AP40" s="2140"/>
      <c r="AQ40" s="2140"/>
      <c r="AR40" s="2140"/>
      <c r="AS40" s="2140"/>
      <c r="AT40" s="2140"/>
      <c r="AU40" s="2140"/>
      <c r="AV40" s="2140"/>
      <c r="AW40" s="2140"/>
      <c r="AX40" s="2140"/>
      <c r="AY40" s="2140"/>
      <c r="AZ40" s="2140"/>
      <c r="BA40" s="2140"/>
      <c r="BB40" s="2140"/>
      <c r="BC40" s="2140" t="s">
        <v>296</v>
      </c>
      <c r="BI40" s="1157">
        <v>14</v>
      </c>
    </row>
    <row customHeight="1" ht="14.699999999999998">
      <c r="Q41" s="293"/>
      <c r="R41" s="378"/>
      <c r="S41" s="2295" t="s">
        <v>88</v>
      </c>
      <c r="T41" s="2232" t="s">
        <v>500</v>
      </c>
      <c r="U41" s="303"/>
      <c r="V41" s="2296" t="s">
        <v>420</v>
      </c>
      <c r="W41" s="2297"/>
      <c r="X41" s="2297"/>
      <c r="Y41" s="2297"/>
      <c r="Z41" s="2297"/>
      <c r="AA41" s="2297"/>
      <c r="AB41" s="2298"/>
      <c r="AC41" s="2299" t="s">
        <v>421</v>
      </c>
      <c r="AD41" s="2350" t="s">
        <v>501</v>
      </c>
      <c r="AE41" s="2318"/>
      <c r="AF41" s="2318"/>
      <c r="AG41" s="2351"/>
      <c r="AH41" s="2350" t="s">
        <v>502</v>
      </c>
      <c r="AI41" s="2318"/>
      <c r="AJ41" s="2318"/>
      <c r="AK41" s="2351"/>
      <c r="AL41" s="2350" t="s">
        <v>503</v>
      </c>
      <c r="AM41" s="2318"/>
      <c r="AN41" s="2318"/>
      <c r="AO41" s="2351"/>
      <c r="AP41" s="2350" t="s">
        <v>504</v>
      </c>
      <c r="AQ41" s="2318"/>
      <c r="AR41" s="2318"/>
      <c r="AS41" s="2351"/>
      <c r="AT41" s="2296" t="s">
        <v>420</v>
      </c>
      <c r="AU41" s="2297"/>
      <c r="AV41" s="2297"/>
      <c r="AW41" s="2297"/>
      <c r="AX41" s="2297"/>
      <c r="AY41" s="2297"/>
      <c r="AZ41" s="2298"/>
      <c r="BA41" s="2299" t="s">
        <v>421</v>
      </c>
      <c r="BB41" s="2302" t="s">
        <v>423</v>
      </c>
      <c r="BC41" s="2140"/>
      <c r="BI41" s="1157">
        <v>14</v>
      </c>
    </row>
    <row customHeight="1" ht="35.699999999999996">
      <c r="Q42" s="293"/>
      <c r="R42" s="378"/>
      <c r="S42" s="2295"/>
      <c r="T42" s="2232"/>
      <c r="U42" s="1033"/>
      <c r="V42" s="2200" t="s">
        <v>505</v>
      </c>
      <c r="W42" s="2201"/>
      <c r="X42" s="2200" t="s">
        <v>506</v>
      </c>
      <c r="Y42" s="2201"/>
      <c r="Z42" s="2316" t="s">
        <v>507</v>
      </c>
      <c r="AA42" s="2341"/>
      <c r="AB42" s="2342"/>
      <c r="AC42" s="2300"/>
      <c r="AD42" s="2352"/>
      <c r="AE42" s="2353"/>
      <c r="AF42" s="2353"/>
      <c r="AG42" s="2365"/>
      <c r="AH42" s="2352"/>
      <c r="AI42" s="2353"/>
      <c r="AJ42" s="2353"/>
      <c r="AK42" s="2365"/>
      <c r="AL42" s="2352"/>
      <c r="AM42" s="2353"/>
      <c r="AN42" s="2353"/>
      <c r="AO42" s="2365"/>
      <c r="AP42" s="2352"/>
      <c r="AQ42" s="2353"/>
      <c r="AR42" s="2353"/>
      <c r="AS42" s="2365"/>
      <c r="AT42" s="2200" t="s">
        <v>505</v>
      </c>
      <c r="AU42" s="2201"/>
      <c r="AV42" s="2200" t="s">
        <v>506</v>
      </c>
      <c r="AW42" s="2201"/>
      <c r="AX42" s="2316" t="s">
        <v>507</v>
      </c>
      <c r="AY42" s="2341"/>
      <c r="AZ42" s="2342"/>
      <c r="BA42" s="2300"/>
      <c r="BB42" s="2303"/>
      <c r="BC42" s="2140"/>
      <c r="BI42" s="1157">
        <v>34</v>
      </c>
    </row>
    <row customHeight="1" ht="14.699999999999998">
      <c r="Q43" s="293"/>
      <c r="R43" s="378"/>
      <c r="S43" s="2295"/>
      <c r="T43" s="2232"/>
      <c r="U43" s="1033"/>
      <c r="V43" s="2208"/>
      <c r="W43" s="2209"/>
      <c r="X43" s="2208"/>
      <c r="Y43" s="2209"/>
      <c r="Z43" s="2317"/>
      <c r="AA43" s="2343"/>
      <c r="AB43" s="2344"/>
      <c r="AC43" s="2300"/>
      <c r="AD43" s="2352"/>
      <c r="AE43" s="2353"/>
      <c r="AF43" s="2353"/>
      <c r="AG43" s="2365"/>
      <c r="AH43" s="2352"/>
      <c r="AI43" s="2353"/>
      <c r="AJ43" s="2353"/>
      <c r="AK43" s="2365"/>
      <c r="AL43" s="2352"/>
      <c r="AM43" s="2353"/>
      <c r="AN43" s="2353"/>
      <c r="AO43" s="2365"/>
      <c r="AP43" s="2352"/>
      <c r="AQ43" s="2353"/>
      <c r="AR43" s="2353"/>
      <c r="AS43" s="2365"/>
      <c r="AT43" s="2208"/>
      <c r="AU43" s="2209"/>
      <c r="AV43" s="2208"/>
      <c r="AW43" s="2209"/>
      <c r="AX43" s="2317"/>
      <c r="AY43" s="2343"/>
      <c r="AZ43" s="2344"/>
      <c r="BA43" s="2300"/>
      <c r="BB43" s="2303"/>
      <c r="BC43" s="2140"/>
      <c r="BI43" s="1157">
        <v>14</v>
      </c>
    </row>
    <row customHeight="1" ht="14.699999999999998">
      <c r="A44" s="1372"/>
      <c r="B44" s="1372" t="s">
        <v>132</v>
      </c>
      <c r="C44" s="1372" t="s">
        <v>133</v>
      </c>
      <c r="D44" s="1372" t="s">
        <v>134</v>
      </c>
      <c r="E44" s="1366" t="s">
        <v>428</v>
      </c>
      <c r="F44" s="1366" t="s">
        <v>429</v>
      </c>
      <c r="G44" s="1366" t="s">
        <v>430</v>
      </c>
      <c r="H44" s="1366" t="s">
        <v>431</v>
      </c>
      <c r="I44" s="1366" t="s">
        <v>432</v>
      </c>
      <c r="J44" s="1366" t="s">
        <v>433</v>
      </c>
      <c r="K44" s="1366" t="s">
        <v>434</v>
      </c>
      <c r="L44" s="1366" t="s">
        <v>413</v>
      </c>
      <c r="Q44" s="293"/>
      <c r="R44" s="378"/>
      <c r="S44" s="2295"/>
      <c r="T44" s="2232"/>
      <c r="U44" s="304"/>
      <c r="V44" s="1450" t="s">
        <v>469</v>
      </c>
      <c r="W44" s="1450" t="s">
        <v>470</v>
      </c>
      <c r="X44" s="1450" t="s">
        <v>469</v>
      </c>
      <c r="Y44" s="1450" t="s">
        <v>470</v>
      </c>
      <c r="Z44" s="1457" t="s">
        <v>437</v>
      </c>
      <c r="AA44" s="2291" t="s">
        <v>438</v>
      </c>
      <c r="AB44" s="2292"/>
      <c r="AC44" s="2301"/>
      <c r="AD44" s="2354"/>
      <c r="AE44" s="2355"/>
      <c r="AF44" s="2355"/>
      <c r="AG44" s="2356"/>
      <c r="AH44" s="2354"/>
      <c r="AI44" s="2355"/>
      <c r="AJ44" s="2355"/>
      <c r="AK44" s="2356"/>
      <c r="AL44" s="2354"/>
      <c r="AM44" s="2355"/>
      <c r="AN44" s="2355"/>
      <c r="AO44" s="2356"/>
      <c r="AP44" s="2354"/>
      <c r="AQ44" s="2355"/>
      <c r="AR44" s="2355"/>
      <c r="AS44" s="2356"/>
      <c r="AT44" s="1450" t="s">
        <v>469</v>
      </c>
      <c r="AU44" s="1450" t="s">
        <v>470</v>
      </c>
      <c r="AV44" s="1450" t="s">
        <v>469</v>
      </c>
      <c r="AW44" s="1450" t="s">
        <v>470</v>
      </c>
      <c r="AX44" s="1457" t="s">
        <v>437</v>
      </c>
      <c r="AY44" s="2291" t="s">
        <v>438</v>
      </c>
      <c r="AZ44" s="2292"/>
      <c r="BA44" s="2301"/>
      <c r="BB44" s="2304"/>
      <c r="BC44" s="2140"/>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106</v>
      </c>
      <c r="T45" s="1257" t="s">
        <v>107</v>
      </c>
      <c r="U45" s="1247" t="str">
        <f>OFFSET(U45,0,-1)</f>
        <v>2</v>
      </c>
      <c r="V45" s="1453">
        <f>OFFSET(V45,0,-1)+1</f>
        <v>3</v>
      </c>
      <c r="W45" s="1453">
        <f>OFFSET(W45,0,-1)+1</f>
        <v>4</v>
      </c>
      <c r="X45" s="1453">
        <f>OFFSET(X45,0,-1)+1</f>
        <v>5</v>
      </c>
      <c r="Y45" s="1453">
        <f>OFFSET(Y45,0,-1)+1</f>
        <v>6</v>
      </c>
      <c r="Z45" s="1453">
        <f>OFFSET(Z45,0,-1)+1</f>
        <v>7</v>
      </c>
      <c r="AA45" s="2293">
        <f>OFFSET(AA45,0,-1)+1</f>
        <v>8</v>
      </c>
      <c r="AB45" s="2293"/>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93">
        <f>OFFSET(AY45,0,-1)+1</f>
        <v>3</v>
      </c>
      <c r="AZ45" s="2293"/>
      <c r="BA45" s="1453">
        <f>OFFSET(BA45,0,-2)+1</f>
        <v>4</v>
      </c>
      <c r="BB45" s="1247">
        <f>OFFSET(BB45,0,-1)</f>
        <v>4</v>
      </c>
      <c r="BC45" s="1453">
        <f>OFFSET(BC45,0,-1)+1</f>
        <v>5</v>
      </c>
      <c r="BD45" s="513"/>
      <c r="BE45" s="513"/>
      <c r="BF45" s="513"/>
      <c r="BG45" s="513"/>
      <c r="BH45" s="513"/>
      <c r="BI45" s="498">
        <v>0</v>
      </c>
    </row>
    <row customHeight="1" ht="22.049999999999997">
      <c r="A46" s="1365" t="s">
        <v>241</v>
      </c>
      <c r="B46" s="1365"/>
      <c r="C46" s="1365"/>
      <c r="D46" s="1365"/>
      <c r="E46" s="2277">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120</v>
      </c>
      <c r="U46" s="302"/>
      <c r="V46" s="2272"/>
      <c r="W46" s="2272"/>
      <c r="X46" s="2272"/>
      <c r="Y46" s="2272"/>
      <c r="Z46" s="2272"/>
      <c r="AA46" s="2272"/>
      <c r="AB46" s="2272"/>
      <c r="AC46" s="2273"/>
      <c r="AD46" s="2271" t="str">
        <f>INDEX(PT_DIFFERENTIATION_NTAR,MATCH(A46,PT_DIFFERENTIATION_NTAR_ID,0))</f>
        <v/>
      </c>
      <c r="AE46" s="2272"/>
      <c r="AF46" s="2272"/>
      <c r="AG46" s="2272"/>
      <c r="AH46" s="2272"/>
      <c r="AI46" s="2272"/>
      <c r="AJ46" s="2272"/>
      <c r="AK46" s="2272"/>
      <c r="AL46" s="2272"/>
      <c r="AM46" s="2272"/>
      <c r="AN46" s="2272"/>
      <c r="AO46" s="2272"/>
      <c r="AP46" s="2272"/>
      <c r="AQ46" s="2272"/>
      <c r="AR46" s="2272"/>
      <c r="AS46" s="2272"/>
      <c r="AT46" s="2272"/>
      <c r="AU46" s="2272"/>
      <c r="AV46" s="2272"/>
      <c r="AW46" s="2272"/>
      <c r="AX46" s="2272"/>
      <c r="AY46" s="2272"/>
      <c r="AZ46" s="2272"/>
      <c r="BA46" s="2272"/>
      <c r="BB46" s="2273"/>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241</v>
      </c>
      <c r="B47" s="1365" t="s">
        <v>242</v>
      </c>
      <c r="C47" s="1365"/>
      <c r="D47" s="1365"/>
      <c r="E47" s="2278"/>
      <c r="F47" s="2277">
        <v>1</v>
      </c>
      <c r="G47" s="1365"/>
      <c r="H47" s="1365"/>
      <c r="I47" s="1365"/>
      <c r="J47" s="1365"/>
      <c r="K47" s="1365"/>
      <c r="L47" s="1366"/>
      <c r="M47" s="1367"/>
      <c r="N47" s="1367"/>
      <c r="O47" s="1367"/>
      <c r="P47" s="1412"/>
      <c r="Q47" s="1413"/>
      <c r="R47" s="355"/>
      <c r="S47" s="1459" t="str">
        <f>INDEX(PT_DIFFERENTIATION_NUM_TER,MATCH(B47,PT_DIFFERENTIATION_TER_ID,0))</f>
        <v>.</v>
      </c>
      <c r="T47" s="310" t="s">
        <v>392</v>
      </c>
      <c r="U47" s="302"/>
      <c r="V47" s="2272"/>
      <c r="W47" s="2272"/>
      <c r="X47" s="2272"/>
      <c r="Y47" s="2272"/>
      <c r="Z47" s="2272"/>
      <c r="AA47" s="2272"/>
      <c r="AB47" s="2272"/>
      <c r="AC47" s="2273"/>
      <c r="AD47" s="2271" t="str">
        <f>INDEX(PT_DIFFERENTIATION_TER,MATCH(B47,PT_DIFFERENTIATION_TER_ID,0))</f>
        <v/>
      </c>
      <c r="AE47" s="2272"/>
      <c r="AF47" s="2272"/>
      <c r="AG47" s="2272"/>
      <c r="AH47" s="2272"/>
      <c r="AI47" s="2272"/>
      <c r="AJ47" s="2272"/>
      <c r="AK47" s="2272"/>
      <c r="AL47" s="2272"/>
      <c r="AM47" s="2272"/>
      <c r="AN47" s="2272"/>
      <c r="AO47" s="2272"/>
      <c r="AP47" s="2272"/>
      <c r="AQ47" s="2272"/>
      <c r="AR47" s="2272"/>
      <c r="AS47" s="2272"/>
      <c r="AT47" s="2272"/>
      <c r="AU47" s="2272"/>
      <c r="AV47" s="2272"/>
      <c r="AW47" s="2272"/>
      <c r="AX47" s="2272"/>
      <c r="AY47" s="2272"/>
      <c r="AZ47" s="2272"/>
      <c r="BA47" s="2272"/>
      <c r="BB47" s="2273"/>
      <c r="BC47" s="1260" t="s">
        <v>393</v>
      </c>
      <c r="BE47" s="502"/>
      <c r="BF47" s="502" t="str">
        <f>IF(T47="","",T47)</f>
        <v>Территория действия тарифа</v>
      </c>
      <c r="BG47" s="502"/>
      <c r="BH47" s="502"/>
      <c r="BI47" s="1157">
        <v>21</v>
      </c>
    </row>
    <row customHeight="1" ht="43.050000000000004">
      <c r="A48" s="1365" t="s">
        <v>241</v>
      </c>
      <c r="B48" s="1365" t="s">
        <v>242</v>
      </c>
      <c r="C48" s="1365" t="s">
        <v>243</v>
      </c>
      <c r="D48" s="1365"/>
      <c r="E48" s="2278"/>
      <c r="F48" s="2278"/>
      <c r="G48" s="2277">
        <v>1</v>
      </c>
      <c r="H48" s="1365"/>
      <c r="I48" s="1365"/>
      <c r="J48" s="1365"/>
      <c r="K48" s="1365"/>
      <c r="L48" s="1366"/>
      <c r="M48" s="1367"/>
      <c r="N48" s="1367"/>
      <c r="O48" s="1367"/>
      <c r="P48" s="1414"/>
      <c r="Q48" s="1413"/>
      <c r="R48" s="355"/>
      <c r="S48" s="1459" t="str">
        <f>INDEX(PT_DIFFERENTIATION_NUM_CS,MATCH(C48,PT_DIFFERENTIATION_CS_ID,0))</f>
        <v>..</v>
      </c>
      <c r="T48" s="311" t="s">
        <v>474</v>
      </c>
      <c r="U48" s="302"/>
      <c r="V48" s="2272"/>
      <c r="W48" s="2272"/>
      <c r="X48" s="2272"/>
      <c r="Y48" s="2272"/>
      <c r="Z48" s="2272"/>
      <c r="AA48" s="2272"/>
      <c r="AB48" s="2272"/>
      <c r="AC48" s="2273"/>
      <c r="AD48" s="2271" t="str">
        <f>INDEX(PT_DIFFERENTIATION_CS,MATCH(C48,PT_DIFFERENTIATION_CS_ID,0))</f>
        <v/>
      </c>
      <c r="AE48" s="2272"/>
      <c r="AF48" s="2272"/>
      <c r="AG48" s="2272"/>
      <c r="AH48" s="2272"/>
      <c r="AI48" s="2272"/>
      <c r="AJ48" s="2272"/>
      <c r="AK48" s="2272"/>
      <c r="AL48" s="2272"/>
      <c r="AM48" s="2272"/>
      <c r="AN48" s="2272"/>
      <c r="AO48" s="2272"/>
      <c r="AP48" s="2272"/>
      <c r="AQ48" s="2272"/>
      <c r="AR48" s="2272"/>
      <c r="AS48" s="2272"/>
      <c r="AT48" s="2272"/>
      <c r="AU48" s="2272"/>
      <c r="AV48" s="2272"/>
      <c r="AW48" s="2272"/>
      <c r="AX48" s="2272"/>
      <c r="AY48" s="2272"/>
      <c r="AZ48" s="2272"/>
      <c r="BA48" s="2272"/>
      <c r="BB48" s="2273"/>
      <c r="BC48" s="1260" t="s">
        <v>475</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241</v>
      </c>
      <c r="B49" s="1345" t="s">
        <v>242</v>
      </c>
      <c r="C49" s="1345" t="s">
        <v>243</v>
      </c>
      <c r="D49" s="1345" t="s">
        <v>508</v>
      </c>
      <c r="E49" s="2278"/>
      <c r="F49" s="2278"/>
      <c r="G49" s="2278"/>
      <c r="H49" s="2277">
        <v>1</v>
      </c>
      <c r="I49" s="1345"/>
      <c r="J49" s="1345"/>
      <c r="K49" s="1345"/>
      <c r="L49" s="1348"/>
      <c r="M49" s="1317"/>
      <c r="N49" s="1317"/>
      <c r="O49" s="1317"/>
      <c r="P49" s="1499"/>
      <c r="Q49" s="1500"/>
      <c r="R49" s="359"/>
      <c r="S49" s="1044"/>
      <c r="T49" s="1501"/>
      <c r="U49" s="1386"/>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387" t="s">
        <v>397</v>
      </c>
      <c r="BE49" s="502"/>
      <c r="BF49" s="502" t="str">
        <f>IF(T49="","",T49)</f>
        <v/>
      </c>
      <c r="BG49" s="502"/>
      <c r="BH49" s="502"/>
      <c r="BI49" s="513">
        <v>0</v>
      </c>
    </row>
    <row s="1644" customFormat="1" customHeight="1" ht="0">
      <c r="A50" s="1345" t="s">
        <v>241</v>
      </c>
      <c r="B50" s="1345" t="s">
        <v>242</v>
      </c>
      <c r="C50" s="1345" t="s">
        <v>243</v>
      </c>
      <c r="D50" s="1345" t="s">
        <v>508</v>
      </c>
      <c r="E50" s="2278"/>
      <c r="F50" s="2278"/>
      <c r="G50" s="2278"/>
      <c r="H50" s="2278"/>
      <c r="I50" s="2279" t="str">
        <f>S49&amp;".1"</f>
        <v>.1</v>
      </c>
      <c r="J50" s="1345"/>
      <c r="K50" s="1345"/>
      <c r="L50" s="1348" t="s">
        <v>398</v>
      </c>
      <c r="M50" s="512"/>
      <c r="N50" s="512"/>
      <c r="O50" s="512"/>
      <c r="P50" s="2281">
        <v>1</v>
      </c>
      <c r="Q50" s="1464"/>
      <c r="R50" s="358"/>
      <c r="S50" s="1044"/>
      <c r="T50" s="1385"/>
      <c r="U50" s="1386"/>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387"/>
      <c r="BE50" s="502"/>
      <c r="BF50" s="502" t="str">
        <f>IF(T50="","",T50)</f>
        <v/>
      </c>
      <c r="BG50" s="502"/>
      <c r="BH50" s="502"/>
      <c r="BI50" s="513">
        <v>0</v>
      </c>
    </row>
    <row s="1644" customFormat="1" customHeight="1" ht="0">
      <c r="A51" s="1345" t="s">
        <v>241</v>
      </c>
      <c r="B51" s="1345" t="s">
        <v>242</v>
      </c>
      <c r="C51" s="1345" t="s">
        <v>243</v>
      </c>
      <c r="D51" s="1345" t="s">
        <v>508</v>
      </c>
      <c r="E51" s="2278"/>
      <c r="F51" s="2278"/>
      <c r="G51" s="2278"/>
      <c r="H51" s="2278"/>
      <c r="I51" s="2280"/>
      <c r="J51" s="2279" t="str">
        <f>S49&amp;".1"</f>
        <v>.1</v>
      </c>
      <c r="K51" s="1345"/>
      <c r="L51" s="1348"/>
      <c r="M51" s="512"/>
      <c r="N51" s="512"/>
      <c r="O51" s="512"/>
      <c r="P51" s="2281"/>
      <c r="Q51" s="2281">
        <v>1</v>
      </c>
      <c r="R51" s="359"/>
      <c r="S51" s="1044"/>
      <c r="T51" s="1401"/>
      <c r="U51" s="1386"/>
      <c r="V51" s="2320"/>
      <c r="W51" s="2320"/>
      <c r="X51" s="2320"/>
      <c r="Y51" s="2320"/>
      <c r="Z51" s="2320"/>
      <c r="AA51" s="2320"/>
      <c r="AB51" s="2320"/>
      <c r="AC51" s="2321"/>
      <c r="AD51" s="2319"/>
      <c r="AE51" s="2320"/>
      <c r="AF51" s="2320"/>
      <c r="AG51" s="2320"/>
      <c r="AH51" s="2320"/>
      <c r="AI51" s="2320"/>
      <c r="AJ51" s="2320"/>
      <c r="AK51" s="2320"/>
      <c r="AL51" s="2320"/>
      <c r="AM51" s="2320"/>
      <c r="AN51" s="2389"/>
      <c r="AO51" s="2389"/>
      <c r="AP51" s="2320"/>
      <c r="AQ51" s="2320"/>
      <c r="AR51" s="2320"/>
      <c r="AS51" s="2320"/>
      <c r="AT51" s="2320"/>
      <c r="AU51" s="2320"/>
      <c r="AV51" s="2320"/>
      <c r="AW51" s="2320"/>
      <c r="AX51" s="2320"/>
      <c r="AY51" s="2320"/>
      <c r="AZ51" s="2320"/>
      <c r="BA51" s="2320"/>
      <c r="BB51" s="2321"/>
      <c r="BC51" s="1387"/>
      <c r="BE51" s="502"/>
      <c r="BF51" s="502" t="str">
        <f>IF(T51="","",T51)</f>
        <v/>
      </c>
      <c r="BG51" s="502"/>
      <c r="BH51" s="502"/>
      <c r="BI51" s="513">
        <v>0</v>
      </c>
    </row>
    <row customHeight="1" ht="11.549999999999999">
      <c r="A52" s="1365" t="s">
        <v>241</v>
      </c>
      <c r="B52" s="1365" t="s">
        <v>242</v>
      </c>
      <c r="C52" s="1365" t="s">
        <v>243</v>
      </c>
      <c r="D52" s="1365" t="s">
        <v>508</v>
      </c>
      <c r="E52" s="2278"/>
      <c r="F52" s="2278"/>
      <c r="G52" s="2278"/>
      <c r="H52" s="2278"/>
      <c r="I52" s="2280"/>
      <c r="J52" s="2280"/>
      <c r="K52" s="2279" t="str">
        <f>S48&amp;".1"</f>
        <v>...1</v>
      </c>
      <c r="L52" s="1366"/>
      <c r="P52" s="2281"/>
      <c r="Q52" s="2281"/>
      <c r="R52" s="359">
        <v>1</v>
      </c>
      <c r="S52" s="2361" t="str">
        <f>$K52</f>
        <v>...1</v>
      </c>
      <c r="T52" s="2383"/>
      <c r="U52" s="302"/>
      <c r="V52" s="753"/>
      <c r="W52" s="1259"/>
      <c r="X52" s="753"/>
      <c r="Y52" s="1259"/>
      <c r="Z52" s="1735"/>
      <c r="AA52" s="1461" t="s">
        <v>65</v>
      </c>
      <c r="AB52" s="1735"/>
      <c r="AC52" s="1461" t="s">
        <v>65</v>
      </c>
      <c r="AD52" s="2215" t="s">
        <v>65</v>
      </c>
      <c r="AE52" s="2357"/>
      <c r="AF52" s="2228">
        <v>1</v>
      </c>
      <c r="AG52" s="2382"/>
      <c r="AH52" s="2150" t="s">
        <v>65</v>
      </c>
      <c r="AI52" s="2357"/>
      <c r="AJ52" s="2228">
        <v>1</v>
      </c>
      <c r="AK52" s="2371" t="s">
        <v>22</v>
      </c>
      <c r="AL52" s="2150" t="s">
        <v>65</v>
      </c>
      <c r="AM52" s="2200"/>
      <c r="AN52" s="2228">
        <v>1</v>
      </c>
      <c r="AO52" s="2386"/>
      <c r="AP52" s="2387" t="s">
        <v>65</v>
      </c>
      <c r="AQ52" s="313"/>
      <c r="AR52" s="1465">
        <v>1</v>
      </c>
      <c r="AS52" s="1468" t="s">
        <v>22</v>
      </c>
      <c r="AT52" s="753"/>
      <c r="AU52" s="1259"/>
      <c r="AV52" s="753"/>
      <c r="AW52" s="1259"/>
      <c r="AX52" s="1735"/>
      <c r="AY52" s="1461" t="s">
        <v>65</v>
      </c>
      <c r="AZ52" s="1735"/>
      <c r="BA52" s="1461" t="s">
        <v>65</v>
      </c>
      <c r="BB52" s="1350"/>
      <c r="BC52" s="2307" t="s">
        <v>492</v>
      </c>
      <c r="BE52" s="502"/>
      <c r="BF52" s="502" t="str">
        <f>IF(T52="","",T52)</f>
        <v/>
      </c>
      <c r="BG52" s="502"/>
      <c r="BH52" s="502"/>
      <c r="BI52" s="1157">
        <v>11</v>
      </c>
    </row>
    <row customHeight="1" ht="11.549999999999999">
      <c r="A53" s="1365"/>
      <c r="B53" s="1365"/>
      <c r="C53" s="1365"/>
      <c r="D53" s="1365"/>
      <c r="E53" s="2278"/>
      <c r="F53" s="2278"/>
      <c r="G53" s="2278"/>
      <c r="H53" s="2278"/>
      <c r="I53" s="2280"/>
      <c r="J53" s="2280"/>
      <c r="K53" s="2279"/>
      <c r="L53" s="1366"/>
      <c r="P53" s="2281"/>
      <c r="Q53" s="2281"/>
      <c r="R53" s="359"/>
      <c r="S53" s="2362"/>
      <c r="T53" s="2384"/>
      <c r="U53" s="302"/>
      <c r="V53" s="1395"/>
      <c r="W53" s="1498"/>
      <c r="X53" s="1395"/>
      <c r="Y53" s="1498"/>
      <c r="Z53" s="1395"/>
      <c r="AA53" s="1395"/>
      <c r="AB53" s="1395"/>
      <c r="AC53" s="1395"/>
      <c r="AD53" s="2216"/>
      <c r="AE53" s="2357"/>
      <c r="AF53" s="2228"/>
      <c r="AG53" s="2382"/>
      <c r="AH53" s="2150"/>
      <c r="AI53" s="2357"/>
      <c r="AJ53" s="2228"/>
      <c r="AK53" s="2371"/>
      <c r="AL53" s="2150"/>
      <c r="AM53" s="2208"/>
      <c r="AN53" s="2228"/>
      <c r="AO53" s="2386"/>
      <c r="AP53" s="2388"/>
      <c r="AQ53" s="318"/>
      <c r="AR53" s="418"/>
      <c r="AS53" s="418" t="s">
        <v>493</v>
      </c>
      <c r="AT53" s="1395"/>
      <c r="AU53" s="1498"/>
      <c r="AV53" s="1395"/>
      <c r="AW53" s="1498"/>
      <c r="AX53" s="1395"/>
      <c r="AY53" s="1395"/>
      <c r="AZ53" s="1395"/>
      <c r="BA53" s="1395"/>
      <c r="BB53" s="1399"/>
      <c r="BC53" s="2308"/>
      <c r="BE53" s="502"/>
      <c r="BF53" s="502"/>
      <c r="BG53" s="502"/>
      <c r="BH53" s="502"/>
      <c r="BI53" s="1157">
        <v>11</v>
      </c>
    </row>
    <row customHeight="1" ht="11.549999999999999">
      <c r="A54" s="1365" t="s">
        <v>241</v>
      </c>
      <c r="B54" s="1365"/>
      <c r="C54" s="1365"/>
      <c r="D54" s="1365"/>
      <c r="E54" s="2278"/>
      <c r="F54" s="2278"/>
      <c r="G54" s="2278"/>
      <c r="H54" s="2278"/>
      <c r="I54" s="2280"/>
      <c r="J54" s="2280"/>
      <c r="K54" s="2279"/>
      <c r="L54" s="1366"/>
      <c r="P54" s="2281"/>
      <c r="Q54" s="2281"/>
      <c r="R54" s="359"/>
      <c r="S54" s="2362"/>
      <c r="T54" s="2384"/>
      <c r="U54" s="302"/>
      <c r="V54" s="1395"/>
      <c r="W54" s="1498"/>
      <c r="X54" s="1395"/>
      <c r="Y54" s="1498"/>
      <c r="Z54" s="1395"/>
      <c r="AA54" s="1395"/>
      <c r="AB54" s="1395"/>
      <c r="AC54" s="1395"/>
      <c r="AD54" s="2216"/>
      <c r="AE54" s="2357"/>
      <c r="AF54" s="2228"/>
      <c r="AG54" s="2382"/>
      <c r="AH54" s="2150"/>
      <c r="AI54" s="2357"/>
      <c r="AJ54" s="2228"/>
      <c r="AK54" s="2371"/>
      <c r="AL54" s="2150"/>
      <c r="AM54" s="318"/>
      <c r="AN54" s="1502"/>
      <c r="AO54" s="1502" t="s">
        <v>494</v>
      </c>
      <c r="AP54" s="418"/>
      <c r="AQ54" s="418"/>
      <c r="AR54" s="418"/>
      <c r="AS54" s="1395"/>
      <c r="AT54" s="1395"/>
      <c r="AU54" s="1498"/>
      <c r="AV54" s="1395"/>
      <c r="AW54" s="1498"/>
      <c r="AX54" s="1395"/>
      <c r="AY54" s="1395"/>
      <c r="AZ54" s="1395"/>
      <c r="BA54" s="1395"/>
      <c r="BB54" s="1399"/>
      <c r="BC54" s="2308"/>
      <c r="BE54" s="502"/>
      <c r="BF54" s="502"/>
      <c r="BG54" s="502"/>
      <c r="BH54" s="502"/>
      <c r="BI54" s="1157">
        <v>11</v>
      </c>
    </row>
    <row customHeight="1" ht="11.549999999999999">
      <c r="A55" s="1365" t="s">
        <v>241</v>
      </c>
      <c r="B55" s="1365"/>
      <c r="C55" s="1365"/>
      <c r="D55" s="1365"/>
      <c r="E55" s="2278"/>
      <c r="F55" s="2278"/>
      <c r="G55" s="2278"/>
      <c r="H55" s="2278"/>
      <c r="I55" s="2280"/>
      <c r="J55" s="2280"/>
      <c r="K55" s="2279"/>
      <c r="L55" s="1366"/>
      <c r="P55" s="2281"/>
      <c r="Q55" s="2281"/>
      <c r="R55" s="359"/>
      <c r="S55" s="2362"/>
      <c r="T55" s="2384"/>
      <c r="U55" s="302"/>
      <c r="V55" s="1395"/>
      <c r="W55" s="1498"/>
      <c r="X55" s="1395"/>
      <c r="Y55" s="1498"/>
      <c r="Z55" s="1395"/>
      <c r="AA55" s="1395"/>
      <c r="AB55" s="1395"/>
      <c r="AC55" s="1395"/>
      <c r="AD55" s="2216"/>
      <c r="AE55" s="2357"/>
      <c r="AF55" s="2228"/>
      <c r="AG55" s="2382"/>
      <c r="AH55" s="2150"/>
      <c r="AI55" s="296"/>
      <c r="AJ55" s="417"/>
      <c r="AK55" s="315" t="s">
        <v>495</v>
      </c>
      <c r="AL55" s="1395"/>
      <c r="AM55" s="1395"/>
      <c r="AN55" s="1395"/>
      <c r="AO55" s="1395"/>
      <c r="AP55" s="1395"/>
      <c r="AQ55" s="1395"/>
      <c r="AR55" s="1395"/>
      <c r="AS55" s="1395"/>
      <c r="AT55" s="1395"/>
      <c r="AU55" s="1498"/>
      <c r="AV55" s="1395"/>
      <c r="AW55" s="1498"/>
      <c r="AX55" s="1395"/>
      <c r="AY55" s="1395"/>
      <c r="AZ55" s="1395"/>
      <c r="BA55" s="1395"/>
      <c r="BB55" s="1399"/>
      <c r="BC55" s="2308"/>
      <c r="BE55" s="502"/>
      <c r="BF55" s="502"/>
      <c r="BG55" s="502"/>
      <c r="BH55" s="502"/>
      <c r="BI55" s="1157">
        <v>11</v>
      </c>
    </row>
    <row customHeight="1" ht="11.549999999999999">
      <c r="A56" s="1365" t="s">
        <v>241</v>
      </c>
      <c r="B56" s="1365" t="s">
        <v>242</v>
      </c>
      <c r="C56" s="1365" t="s">
        <v>243</v>
      </c>
      <c r="D56" s="1365" t="s">
        <v>508</v>
      </c>
      <c r="E56" s="2278"/>
      <c r="F56" s="2278"/>
      <c r="G56" s="2278"/>
      <c r="H56" s="2278"/>
      <c r="I56" s="2280"/>
      <c r="J56" s="2280"/>
      <c r="K56" s="2279"/>
      <c r="L56" s="1366"/>
      <c r="P56" s="2281"/>
      <c r="Q56" s="2281"/>
      <c r="R56" s="359"/>
      <c r="S56" s="2363"/>
      <c r="T56" s="2385"/>
      <c r="U56" s="302"/>
      <c r="V56" s="1395"/>
      <c r="W56" s="1396" t="str">
        <f>Z52&amp;"-"&amp;AB52</f>
        <v>-</v>
      </c>
      <c r="X56" s="1395"/>
      <c r="Y56" s="1396" t="str">
        <f>AB52&amp;"-"&amp;AD52</f>
        <v>-да</v>
      </c>
      <c r="Z56" s="1395"/>
      <c r="AA56" s="1395"/>
      <c r="AB56" s="1395"/>
      <c r="AC56" s="1395"/>
      <c r="AD56" s="2155"/>
      <c r="AE56" s="314"/>
      <c r="AF56" s="316"/>
      <c r="AG56" s="418" t="s">
        <v>496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308"/>
      <c r="BE56" s="502"/>
      <c r="BF56" s="502" t="str">
        <f>IF(T56="","",T56)</f>
        <v/>
      </c>
      <c r="BG56" s="502"/>
      <c r="BH56" s="502"/>
      <c r="BI56" s="1157">
        <v>11</v>
      </c>
    </row>
    <row customHeight="1" ht="11.549999999999999">
      <c r="A57" s="1365" t="s">
        <v>241</v>
      </c>
      <c r="B57" s="1365" t="s">
        <v>242</v>
      </c>
      <c r="C57" s="1365" t="s">
        <v>243</v>
      </c>
      <c r="D57" s="1365" t="s">
        <v>508</v>
      </c>
      <c r="E57" s="2278"/>
      <c r="F57" s="2278"/>
      <c r="G57" s="2278"/>
      <c r="H57" s="2278"/>
      <c r="I57" s="2280"/>
      <c r="J57" s="2279"/>
      <c r="K57" s="1365"/>
      <c r="L57" s="1366"/>
      <c r="P57" s="2281"/>
      <c r="Q57" s="2281"/>
      <c r="R57" s="358"/>
      <c r="S57" s="1280"/>
      <c r="T57" s="289" t="s">
        <v>459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309"/>
      <c r="BE57" s="502"/>
      <c r="BF57" s="502" t="str">
        <f>IF(T57="","",T57)</f>
        <v>Добавить строку</v>
      </c>
      <c r="BG57" s="502"/>
      <c r="BH57" s="502"/>
      <c r="BI57" s="1157">
        <v>11</v>
      </c>
    </row>
    <row s="1644" customFormat="1" customHeight="1" ht="0">
      <c r="A58" s="1345" t="s">
        <v>241</v>
      </c>
      <c r="B58" s="1345" t="s">
        <v>242</v>
      </c>
      <c r="C58" s="1345" t="s">
        <v>243</v>
      </c>
      <c r="D58" s="1345" t="s">
        <v>508</v>
      </c>
      <c r="E58" s="2278"/>
      <c r="F58" s="2278"/>
      <c r="G58" s="2278"/>
      <c r="H58" s="2278"/>
      <c r="I58" s="2279"/>
      <c r="J58" s="1345"/>
      <c r="K58" s="1345"/>
      <c r="L58" s="1348"/>
      <c r="M58" s="512"/>
      <c r="N58" s="512"/>
      <c r="O58" s="512"/>
      <c r="P58" s="2281"/>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241</v>
      </c>
      <c r="B59" s="1345" t="s">
        <v>242</v>
      </c>
      <c r="C59" s="1345" t="s">
        <v>243</v>
      </c>
      <c r="D59" s="1345" t="s">
        <v>508</v>
      </c>
      <c r="E59" s="2278"/>
      <c r="F59" s="2278"/>
      <c r="G59" s="2278"/>
      <c r="H59" s="2277"/>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241</v>
      </c>
      <c r="B60" s="1345" t="s">
        <v>242</v>
      </c>
      <c r="C60" s="1345" t="s">
        <v>243</v>
      </c>
      <c r="D60" s="1316"/>
      <c r="E60" s="2278"/>
      <c r="F60" s="2278"/>
      <c r="G60" s="2277"/>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241</v>
      </c>
      <c r="B61" s="1345" t="s">
        <v>242</v>
      </c>
      <c r="C61" s="1316"/>
      <c r="D61" s="1316"/>
      <c r="E61" s="2278"/>
      <c r="F61" s="2277"/>
      <c r="G61" s="1316"/>
      <c r="H61" s="1316"/>
      <c r="I61" s="1316"/>
      <c r="J61" s="1316"/>
      <c r="K61" s="1316"/>
      <c r="L61" s="1466"/>
      <c r="M61" s="1323"/>
      <c r="N61" s="1323"/>
      <c r="P61" s="1318"/>
      <c r="Q61" s="1319"/>
      <c r="R61" s="1318"/>
      <c r="S61" s="1324"/>
      <c r="T61" s="1327" t="s">
        <v>410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241</v>
      </c>
      <c r="B62" s="1345"/>
      <c r="C62" s="1345"/>
      <c r="D62" s="1345"/>
      <c r="E62" s="2277"/>
      <c r="F62" s="1345"/>
      <c r="G62" s="1345"/>
      <c r="H62" s="1345"/>
      <c r="I62" s="1345"/>
      <c r="J62" s="1345"/>
      <c r="K62" s="1345"/>
      <c r="L62" s="1348"/>
      <c r="M62" s="1323"/>
      <c r="N62" s="1323"/>
      <c r="O62" s="520"/>
      <c r="P62" s="382"/>
      <c r="Q62" s="1346"/>
      <c r="R62" s="382"/>
      <c r="S62" s="1324"/>
      <c r="T62" s="1327" t="s">
        <v>411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439</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76"/>
      <c r="U65" s="2276"/>
      <c r="V65" s="2276"/>
      <c r="W65" s="2276"/>
      <c r="X65" s="2276"/>
      <c r="Y65" s="2276"/>
      <c r="Z65" s="2276"/>
      <c r="AA65" s="2276"/>
      <c r="AB65" s="2276"/>
      <c r="AC65" s="2276"/>
      <c r="AD65" s="2276"/>
      <c r="AE65" s="2276"/>
      <c r="AF65" s="2276"/>
      <c r="AG65" s="2276"/>
      <c r="AH65" s="2276"/>
      <c r="AI65" s="2276"/>
      <c r="AJ65" s="2276"/>
      <c r="AK65" s="2276"/>
      <c r="AL65" s="2276"/>
      <c r="AM65" s="2276"/>
      <c r="AN65" s="2276"/>
      <c r="AO65" s="2276"/>
      <c r="AP65" s="2276"/>
      <c r="AQ65" s="2276"/>
      <c r="AR65" s="2276"/>
      <c r="AS65" s="2276"/>
      <c r="AT65" s="2276"/>
      <c r="AU65" s="2276"/>
      <c r="AV65" s="2276"/>
      <c r="AW65" s="2276"/>
      <c r="AX65" s="2276"/>
      <c r="AY65" s="2276"/>
      <c r="AZ65" s="2276"/>
      <c r="BA65" s="2276"/>
      <c r="BB65" s="2276"/>
      <c r="BC65" s="2276"/>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76"/>
      <c r="U67" s="2276"/>
      <c r="V67" s="2276"/>
      <c r="W67" s="2276"/>
      <c r="X67" s="2276"/>
      <c r="Y67" s="2276"/>
      <c r="Z67" s="2276"/>
      <c r="AA67" s="2276"/>
      <c r="AB67" s="2276"/>
      <c r="AC67" s="2276"/>
      <c r="AD67" s="2276"/>
      <c r="AE67" s="2276"/>
      <c r="AF67" s="2276"/>
      <c r="AG67" s="2276"/>
      <c r="AH67" s="2276"/>
      <c r="AI67" s="2276"/>
      <c r="AJ67" s="2276"/>
      <c r="AK67" s="2276"/>
      <c r="AL67" s="2276"/>
      <c r="AM67" s="2276"/>
      <c r="AN67" s="2276"/>
      <c r="AO67" s="2276"/>
      <c r="AP67" s="2276"/>
      <c r="AQ67" s="2276"/>
      <c r="AR67" s="2276"/>
      <c r="AS67" s="2276"/>
      <c r="AT67" s="2276"/>
      <c r="AU67" s="2276"/>
      <c r="AV67" s="2276"/>
      <c r="AW67" s="2276"/>
      <c r="AX67" s="2276"/>
      <c r="AY67" s="2276"/>
      <c r="AZ67" s="2276"/>
      <c r="BA67" s="2276"/>
      <c r="BB67" s="2276"/>
      <c r="BC67" s="2276"/>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E29E8-BB58-0288-9BE8-0A0F1756BA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95">
        <f>INDEX(PT_DIFFERENTIATION_NUM_NTAR,MATCH(A2,PT_DIFFERENTIATION_NTAR_ID,0))</f>
      </c>
      <c r="T2" s="300" t="s">
        <v>120</v>
      </c>
      <c r="U2" s="302"/>
      <c r="V2" s="2271"/>
      <c r="W2" s="2272"/>
      <c r="X2" s="2272"/>
      <c r="Y2" s="2272"/>
      <c r="Z2" s="2272"/>
      <c r="AA2" s="2272"/>
      <c r="AB2" s="2273"/>
      <c r="AC2" s="2271">
        <f>INDEX(PT_DIFFERENTIATION_NTAR,MATCH(A2,PT_DIFFERENTIATION_NTAR_ID,0))</f>
      </c>
      <c r="AD2" s="2272"/>
      <c r="AE2" s="2272"/>
      <c r="AF2" s="2272"/>
      <c r="AG2" s="2272"/>
      <c r="AH2" s="2272"/>
      <c r="AI2" s="2272"/>
      <c r="AJ2" s="2273"/>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78"/>
      <c r="F3" s="2277">
        <v>1</v>
      </c>
      <c r="G3" s="1365"/>
      <c r="H3" s="1365"/>
      <c r="I3" s="1365"/>
      <c r="J3" s="1365"/>
      <c r="K3" s="1365"/>
      <c r="L3" s="1366"/>
      <c r="M3" s="1367"/>
      <c r="N3" s="1367"/>
      <c r="O3" s="1367"/>
      <c r="P3" s="1489"/>
      <c r="Q3" s="354"/>
      <c r="R3" s="355"/>
      <c r="S3" s="1495">
        <f>INDEX(PT_DIFFERENTIATION_NUM_TER,MATCH(B3,PT_DIFFERENTIATION_TER_ID,0))</f>
      </c>
      <c r="T3" s="310" t="s">
        <v>392</v>
      </c>
      <c r="U3" s="302"/>
      <c r="V3" s="2271"/>
      <c r="W3" s="2272"/>
      <c r="X3" s="2272"/>
      <c r="Y3" s="2272"/>
      <c r="Z3" s="2272"/>
      <c r="AA3" s="2272"/>
      <c r="AB3" s="2273"/>
      <c r="AC3" s="2271">
        <f>INDEX(PT_DIFFERENTIATION_TER,MATCH(B3,PT_DIFFERENTIATION_TER_ID,0))</f>
      </c>
      <c r="AD3" s="2272"/>
      <c r="AE3" s="2272"/>
      <c r="AF3" s="2272"/>
      <c r="AG3" s="2272"/>
      <c r="AH3" s="2272"/>
      <c r="AI3" s="2272"/>
      <c r="AJ3" s="2273"/>
      <c r="AK3" s="1260" t="s">
        <v>393</v>
      </c>
      <c r="AM3" s="502"/>
      <c r="AN3" s="502" t="str">
        <f>IF(T3="","",T3)</f>
        <v>Территория действия тарифа</v>
      </c>
      <c r="AO3" s="502"/>
      <c r="AP3" s="502"/>
      <c r="AQ3" s="1157">
        <v>0</v>
      </c>
    </row>
    <row customHeight="1" ht="23.25" hidden="1">
      <c r="A4" s="1365"/>
      <c r="B4" s="1365"/>
      <c r="C4" s="1365"/>
      <c r="D4" s="1365"/>
      <c r="E4" s="2278"/>
      <c r="F4" s="2278"/>
      <c r="G4" s="2277">
        <v>1</v>
      </c>
      <c r="H4" s="1365"/>
      <c r="I4" s="1365"/>
      <c r="J4" s="1365"/>
      <c r="K4" s="1365"/>
      <c r="L4" s="1366"/>
      <c r="M4" s="1367"/>
      <c r="N4" s="1367"/>
      <c r="O4" s="1367"/>
      <c r="P4" s="356"/>
      <c r="Q4" s="354"/>
      <c r="R4" s="355"/>
      <c r="S4" s="1495">
        <f>INDEX(PT_DIFFERENTIATION_NUM_CS,MATCH(C4,PT_DIFFERENTIATION_CS_ID,0))</f>
      </c>
      <c r="T4" s="311" t="s">
        <v>509</v>
      </c>
      <c r="U4" s="302"/>
      <c r="V4" s="2271"/>
      <c r="W4" s="2272"/>
      <c r="X4" s="2272"/>
      <c r="Y4" s="2272"/>
      <c r="Z4" s="2272"/>
      <c r="AA4" s="2272"/>
      <c r="AB4" s="2273"/>
      <c r="AC4" s="2271">
        <f>INDEX(PT_DIFFERENTIATION_CS,MATCH(C4,PT_DIFFERENTIATION_CS_ID,0))</f>
      </c>
      <c r="AD4" s="2272"/>
      <c r="AE4" s="2272"/>
      <c r="AF4" s="2272"/>
      <c r="AG4" s="2272"/>
      <c r="AH4" s="2272"/>
      <c r="AI4" s="2272"/>
      <c r="AJ4" s="2273"/>
      <c r="AK4" s="1260" t="s">
        <v>510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78"/>
      <c r="F5" s="2278"/>
      <c r="G5" s="2278"/>
      <c r="H5" s="2278"/>
      <c r="I5" s="2279">
        <f>S4&amp;".1"</f>
      </c>
      <c r="J5" s="1365"/>
      <c r="K5" s="1365"/>
      <c r="L5" s="1366"/>
      <c r="P5" s="2281">
        <v>1</v>
      </c>
      <c r="Q5" s="1483"/>
      <c r="R5" s="358"/>
      <c r="S5" s="1495">
        <f>$I5</f>
      </c>
      <c r="T5" s="287" t="s">
        <v>476</v>
      </c>
      <c r="U5" s="302"/>
      <c r="V5" s="2375"/>
      <c r="W5" s="2376"/>
      <c r="X5" s="2376"/>
      <c r="Y5" s="2376"/>
      <c r="Z5" s="2376"/>
      <c r="AA5" s="2376"/>
      <c r="AB5" s="2377"/>
      <c r="AC5" s="2378"/>
      <c r="AD5" s="2379"/>
      <c r="AE5" s="2379"/>
      <c r="AF5" s="2379"/>
      <c r="AG5" s="2379"/>
      <c r="AH5" s="2379"/>
      <c r="AI5" s="2379"/>
      <c r="AJ5" s="2380"/>
      <c r="AK5" s="1260" t="s">
        <v>477</v>
      </c>
      <c r="AM5" s="502"/>
      <c r="AN5" s="502" t="str">
        <f>IF(T5="","",T5)</f>
        <v>Наименование признака дифференциации</v>
      </c>
      <c r="AO5" s="502"/>
      <c r="AP5" s="502"/>
      <c r="AQ5" s="1157">
        <v>0</v>
      </c>
    </row>
    <row customHeight="1" ht="23.25" hidden="1">
      <c r="A6" s="1365"/>
      <c r="B6" s="1365"/>
      <c r="C6" s="1365"/>
      <c r="D6" s="1365"/>
      <c r="E6" s="2278"/>
      <c r="F6" s="2278"/>
      <c r="G6" s="2278"/>
      <c r="H6" s="2278"/>
      <c r="I6" s="2280"/>
      <c r="J6" s="2279">
        <f>I5&amp;".1"</f>
      </c>
      <c r="K6" s="1365"/>
      <c r="L6" s="1366" t="s">
        <v>401</v>
      </c>
      <c r="P6" s="2281"/>
      <c r="Q6" s="2281">
        <v>1</v>
      </c>
      <c r="R6" s="359"/>
      <c r="S6" s="1495">
        <f>$J6</f>
      </c>
      <c r="T6" s="288" t="s">
        <v>402</v>
      </c>
      <c r="U6" s="302"/>
      <c r="V6" s="2265"/>
      <c r="W6" s="2266"/>
      <c r="X6" s="2266"/>
      <c r="Y6" s="2266"/>
      <c r="Z6" s="2266"/>
      <c r="AA6" s="2266"/>
      <c r="AB6" s="2267"/>
      <c r="AC6" s="2265"/>
      <c r="AD6" s="2266"/>
      <c r="AE6" s="2266"/>
      <c r="AF6" s="2266"/>
      <c r="AG6" s="2266"/>
      <c r="AH6" s="2266"/>
      <c r="AI6" s="2266"/>
      <c r="AJ6" s="2267"/>
      <c r="AK6" s="1309" t="s">
        <v>478</v>
      </c>
      <c r="AM6" s="502"/>
      <c r="AN6" s="502" t="str">
        <f>IF(T6="","",T6)</f>
        <v>Группа потребителей</v>
      </c>
      <c r="AO6" s="502"/>
      <c r="AP6" s="502"/>
      <c r="AQ6" s="1157">
        <v>0</v>
      </c>
    </row>
    <row customHeight="1" ht="23.25" hidden="1">
      <c r="A7" s="1365"/>
      <c r="B7" s="1365"/>
      <c r="C7" s="1365"/>
      <c r="D7" s="1365"/>
      <c r="E7" s="2278"/>
      <c r="F7" s="2278"/>
      <c r="G7" s="2278"/>
      <c r="H7" s="2278"/>
      <c r="I7" s="2280"/>
      <c r="J7" s="2280"/>
      <c r="K7" s="2279">
        <f>J6&amp;".1"</f>
      </c>
      <c r="L7" s="1366"/>
      <c r="P7" s="2281"/>
      <c r="Q7" s="2281"/>
      <c r="R7" s="359">
        <v>1</v>
      </c>
      <c r="S7" s="1495">
        <f>$K7</f>
      </c>
      <c r="T7" s="1439"/>
      <c r="U7" s="302"/>
      <c r="V7" s="753"/>
      <c r="W7" s="753"/>
      <c r="X7" s="1259"/>
      <c r="Y7" s="2282"/>
      <c r="Z7" s="2150" t="s">
        <v>65</v>
      </c>
      <c r="AA7" s="2282"/>
      <c r="AB7" s="2150" t="s">
        <v>65</v>
      </c>
      <c r="AC7" s="753"/>
      <c r="AD7" s="753"/>
      <c r="AE7" s="1259"/>
      <c r="AF7" s="2282"/>
      <c r="AG7" s="2150" t="s">
        <v>65</v>
      </c>
      <c r="AH7" s="2284"/>
      <c r="AI7" s="2150" t="s">
        <v>65</v>
      </c>
      <c r="AJ7" s="1440"/>
      <c r="AK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78"/>
      <c r="F8" s="2278"/>
      <c r="G8" s="2278"/>
      <c r="H8" s="2278"/>
      <c r="I8" s="2280"/>
      <c r="J8" s="2280"/>
      <c r="K8" s="2279"/>
      <c r="L8" s="1366"/>
      <c r="P8" s="2281"/>
      <c r="Q8" s="2281"/>
      <c r="R8" s="359"/>
      <c r="S8" s="1492"/>
      <c r="T8" s="302"/>
      <c r="U8" s="302"/>
      <c r="V8" s="327"/>
      <c r="W8" s="327"/>
      <c r="X8" s="330" t="str">
        <f>Y7&amp;"-"&amp;AA7</f>
        <v>-</v>
      </c>
      <c r="Y8" s="2283"/>
      <c r="Z8" s="2150"/>
      <c r="AA8" s="2283"/>
      <c r="AB8" s="2150"/>
      <c r="AC8" s="327"/>
      <c r="AD8" s="327"/>
      <c r="AE8" s="330" t="str">
        <f>AF7&amp;"-"&amp;AH7</f>
        <v>-</v>
      </c>
      <c r="AF8" s="2283"/>
      <c r="AG8" s="2150"/>
      <c r="AH8" s="2285"/>
      <c r="AI8" s="2150"/>
      <c r="AJ8" s="1441"/>
      <c r="AK8" s="2381"/>
      <c r="AM8" s="502"/>
      <c r="AN8" s="502" t="str">
        <f>IF(T8="","",T8)</f>
        <v/>
      </c>
      <c r="AO8" s="502"/>
      <c r="AP8" s="502"/>
      <c r="AQ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369"/>
      <c r="X9" s="369"/>
      <c r="Y9" s="369"/>
      <c r="Z9" s="369"/>
      <c r="AA9" s="369"/>
      <c r="AB9" s="369"/>
      <c r="AC9" s="369"/>
      <c r="AD9" s="369"/>
      <c r="AE9" s="369"/>
      <c r="AF9" s="369"/>
      <c r="AG9" s="369"/>
      <c r="AH9" s="369"/>
      <c r="AI9" s="369"/>
      <c r="AJ9" s="369"/>
      <c r="AK9" s="1260" t="s">
        <v>480</v>
      </c>
      <c r="AM9" s="502"/>
      <c r="AN9" s="502" t="str">
        <f>IF(T9="","",T9)</f>
        <v>Добавить значение признака дифференциации</v>
      </c>
      <c r="AO9" s="502"/>
      <c r="AP9" s="502"/>
      <c r="AQ9" s="1157">
        <v>0</v>
      </c>
    </row>
    <row customHeight="1" ht="21" hidden="1">
      <c r="A10" s="1365"/>
      <c r="B10" s="1365"/>
      <c r="C10" s="1365"/>
      <c r="D10" s="1365"/>
      <c r="E10" s="2278"/>
      <c r="F10" s="2278"/>
      <c r="G10" s="2278"/>
      <c r="H10" s="2278"/>
      <c r="I10" s="2279"/>
      <c r="J10" s="1365"/>
      <c r="K10" s="1365"/>
      <c r="L10" s="1366"/>
      <c r="P10" s="2281"/>
      <c r="Q10" s="1483"/>
      <c r="R10" s="358"/>
      <c r="S10" s="1280"/>
      <c r="T10" s="367" t="s">
        <v>407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78"/>
      <c r="F12" s="2277"/>
      <c r="G12" s="1316"/>
      <c r="H12" s="1316"/>
      <c r="I12" s="1316"/>
      <c r="J12" s="1316"/>
      <c r="K12" s="1316"/>
      <c r="L12" s="1496"/>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75"/>
      <c r="AG15" s="2274" t="s">
        <v>65</v>
      </c>
      <c r="AH15" s="2275"/>
      <c r="AI15" s="2274" t="s">
        <v>65</v>
      </c>
      <c r="AQ15" s="1157">
        <v>0</v>
      </c>
    </row>
    <row customHeight="1" ht="14.25" hidden="1">
      <c r="AC16" s="1362"/>
      <c r="AD16" s="1362"/>
      <c r="AE16" s="330" t="str">
        <f>AF15&amp;"-"&amp;AH15</f>
        <v>-</v>
      </c>
      <c r="AF16" s="2274"/>
      <c r="AG16" s="2274"/>
      <c r="AH16" s="2274"/>
      <c r="AI16" s="2274"/>
      <c r="AQ16" s="1157">
        <v>0</v>
      </c>
    </row>
    <row customHeight="1" ht="14.25" hidden="1">
      <c r="AI17" s="329"/>
      <c r="AQ17" s="1157">
        <v>0</v>
      </c>
    </row>
    <row s="1368" customFormat="1" customHeight="1" ht="22.5" hidden="1">
      <c r="L18" s="1480"/>
      <c r="M18" s="1364"/>
      <c r="N18" s="1364"/>
      <c r="O18" s="1369" t="s">
        <v>412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413</v>
      </c>
      <c r="P20" s="1364"/>
      <c r="Q20" s="1444"/>
      <c r="R20" s="1444"/>
      <c r="S20" s="731"/>
      <c r="T20" s="1162" t="s">
        <v>414</v>
      </c>
      <c r="Z20" s="188" t="s">
        <v>415</v>
      </c>
      <c r="AB20" s="188" t="s">
        <v>416</v>
      </c>
      <c r="AC20" s="1162" t="s">
        <v>414</v>
      </c>
      <c r="AG20" s="188" t="s">
        <v>417</v>
      </c>
      <c r="AI20" s="188" t="s">
        <v>416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3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0"/>
      <c r="U24" s="2310"/>
      <c r="V24" s="2310"/>
      <c r="W24" s="2310"/>
      <c r="X24" s="2310"/>
      <c r="Y24" s="2310"/>
      <c r="Z24" s="2310"/>
      <c r="AA24" s="2310"/>
      <c r="AB24" s="2310"/>
      <c r="AC24" s="2310"/>
      <c r="AD24" s="2310"/>
      <c r="AE24" s="2310"/>
      <c r="AF24" s="2310"/>
      <c r="AG24" s="2310"/>
      <c r="AH24" s="2310"/>
      <c r="AI24" s="1245"/>
      <c r="AQ24" s="1157">
        <v>14</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328"/>
      <c r="AC27" s="2270" t="str">
        <f>IF(TITLE_NAME_OR_PR_CHANGE="",IF(TITLE_NAME_OR_PR="","",TITLE_NAME_OR_PR),TITLE_NAME_OR_PR_CHANGE)</f>
        <v/>
      </c>
      <c r="AD27" s="2270"/>
      <c r="AE27" s="2270"/>
      <c r="AF27" s="2270"/>
      <c r="AG27" s="2270"/>
      <c r="AH27" s="2270"/>
      <c r="AI27" s="328"/>
      <c r="AJ27" s="328"/>
      <c r="AK27" s="282"/>
      <c r="AL27" s="370"/>
      <c r="AM27" s="370"/>
      <c r="AN27" s="370"/>
      <c r="AO27" s="370"/>
      <c r="AP27" s="370"/>
      <c r="AQ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328"/>
      <c r="AC28" s="2269" t="str">
        <f>IF(TITLE_DATE_PR_CHANGE="",IF(TITLE_DATE_PR="","",TITLE_DATE_PR),TITLE_DATE_PR_CHANGE)</f>
        <v/>
      </c>
      <c r="AD28" s="2269"/>
      <c r="AE28" s="2269"/>
      <c r="AF28" s="2269"/>
      <c r="AG28" s="2269"/>
      <c r="AH28" s="2269"/>
      <c r="AI28" s="328"/>
      <c r="AJ28" s="328"/>
      <c r="AK28" s="282"/>
      <c r="AL28" s="370"/>
      <c r="AM28" s="370"/>
      <c r="AN28" s="370"/>
      <c r="AO28" s="370"/>
      <c r="AP28" s="370"/>
      <c r="AQ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328"/>
      <c r="AC29" s="2270" t="str">
        <f>IF(TITLE_NUMBER_PR_CHANGE="",IF(TITLE_NUMBER_PR="","",TITLE_NUMBER_PR),TITLE_NUMBER_PR_CHANGE)</f>
        <v/>
      </c>
      <c r="AD29" s="2270"/>
      <c r="AE29" s="2270"/>
      <c r="AF29" s="2270"/>
      <c r="AG29" s="2270"/>
      <c r="AH29" s="2270"/>
      <c r="AI29" s="328"/>
      <c r="AJ29" s="328"/>
      <c r="AK29" s="282"/>
      <c r="AL29" s="370"/>
      <c r="AM29" s="370"/>
      <c r="AN29" s="370"/>
      <c r="AO29" s="370"/>
      <c r="AP29" s="370"/>
      <c r="AQ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328"/>
      <c r="AC30" s="2270" t="str">
        <f>IF(TITLE_IST_PUB_CHANGE="",IF(TITLE_IST_PUB="","",TITLE_IST_PUB),TITLE_IST_PUB_CHANGE)</f>
        <v/>
      </c>
      <c r="AD30" s="2270"/>
      <c r="AE30" s="2270"/>
      <c r="AF30" s="2270"/>
      <c r="AG30" s="2270"/>
      <c r="AH30" s="2270"/>
      <c r="AI30" s="328"/>
      <c r="AJ30" s="328"/>
      <c r="AK30" s="282"/>
      <c r="AL30" s="370"/>
      <c r="AM30" s="370"/>
      <c r="AN30" s="370"/>
      <c r="AO30" s="370"/>
      <c r="AP30" s="370"/>
      <c r="AQ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511"/>
      <c r="AQ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328"/>
      <c r="AC32" s="2269" t="str">
        <f>IF(TITLE_DATE_PR_CHANGE="",IF(TITLE_DATE_PR="","",TITLE_DATE_PR),TITLE_DATE_PR_CHANGE)</f>
        <v/>
      </c>
      <c r="AD32" s="2269"/>
      <c r="AE32" s="2269"/>
      <c r="AF32" s="2269"/>
      <c r="AG32" s="2269"/>
      <c r="AH32" s="2269"/>
      <c r="AI32" s="328"/>
      <c r="AJ32" s="328"/>
      <c r="AK32" s="282"/>
      <c r="AL32" s="370"/>
      <c r="AM32" s="370"/>
      <c r="AN32" s="370"/>
      <c r="AO32" s="370"/>
      <c r="AP32" s="370"/>
      <c r="AQ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328"/>
      <c r="AC33" s="2270" t="str">
        <f>IF(TITLE_NUMBER_PR_CHANGE="",IF(TITLE_NUMBER_PR="","",TITLE_NUMBER_PR),TITLE_NUMBER_PR_CHANGE)</f>
        <v/>
      </c>
      <c r="AD33" s="2270"/>
      <c r="AE33" s="2270"/>
      <c r="AF33" s="2270"/>
      <c r="AG33" s="2270"/>
      <c r="AH33" s="2270"/>
      <c r="AI33" s="328"/>
      <c r="AJ33" s="328"/>
      <c r="AK33" s="282"/>
      <c r="AL33" s="370"/>
      <c r="AM33" s="370"/>
      <c r="AN33" s="370"/>
      <c r="AO33" s="370"/>
      <c r="AP33" s="370"/>
      <c r="AQ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418</v>
      </c>
      <c r="AC34" s="328"/>
      <c r="AD34" s="328"/>
      <c r="AE34" s="328"/>
      <c r="AF34" s="328"/>
      <c r="AG34" s="328"/>
      <c r="AH34" s="328"/>
      <c r="AI34" s="280" t="s">
        <v>418</v>
      </c>
      <c r="AL34" s="370"/>
      <c r="AM34" s="370"/>
      <c r="AN34" s="370"/>
      <c r="AO34" s="370"/>
      <c r="AP34" s="370"/>
      <c r="AQ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Q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t="s">
        <v>296</v>
      </c>
      <c r="AQ36" s="1157">
        <v>14</v>
      </c>
    </row>
    <row customHeight="1" ht="14.699999999999998">
      <c r="Q37" s="378"/>
      <c r="R37" s="378"/>
      <c r="S37" s="2295" t="s">
        <v>88</v>
      </c>
      <c r="T37" s="2232" t="s">
        <v>419</v>
      </c>
      <c r="U37" s="303"/>
      <c r="V37" s="2296" t="s">
        <v>420</v>
      </c>
      <c r="W37" s="2297"/>
      <c r="X37" s="2297"/>
      <c r="Y37" s="2297"/>
      <c r="Z37" s="2297"/>
      <c r="AA37" s="2298"/>
      <c r="AB37" s="2299" t="s">
        <v>421</v>
      </c>
      <c r="AC37" s="2296" t="s">
        <v>420</v>
      </c>
      <c r="AD37" s="2297"/>
      <c r="AE37" s="2297"/>
      <c r="AF37" s="2297"/>
      <c r="AG37" s="2297"/>
      <c r="AH37" s="2298"/>
      <c r="AI37" s="2299" t="s">
        <v>422</v>
      </c>
      <c r="AJ37" s="2302" t="s">
        <v>423</v>
      </c>
      <c r="AK37" s="2140"/>
      <c r="AQ37" s="1157">
        <v>14</v>
      </c>
    </row>
    <row customHeight="1" ht="35.699999999999996">
      <c r="Q38" s="378"/>
      <c r="R38" s="378"/>
      <c r="S38" s="2295"/>
      <c r="T38" s="2232"/>
      <c r="U38" s="1033"/>
      <c r="V38" s="1485" t="s">
        <v>482</v>
      </c>
      <c r="W38" s="2288" t="s">
        <v>426</v>
      </c>
      <c r="X38" s="2290"/>
      <c r="Y38" s="2288" t="s">
        <v>427</v>
      </c>
      <c r="Z38" s="2289"/>
      <c r="AA38" s="2290"/>
      <c r="AB38" s="2300"/>
      <c r="AC38" s="1485" t="s">
        <v>482</v>
      </c>
      <c r="AD38" s="2288" t="s">
        <v>426</v>
      </c>
      <c r="AE38" s="2290"/>
      <c r="AF38" s="2288" t="s">
        <v>427</v>
      </c>
      <c r="AG38" s="2289"/>
      <c r="AH38" s="2290"/>
      <c r="AI38" s="2300"/>
      <c r="AJ38" s="2303"/>
      <c r="AK38" s="2140"/>
      <c r="AQ38" s="1157">
        <v>34</v>
      </c>
    </row>
    <row customHeight="1" ht="90.3">
      <c r="A39" s="1372"/>
      <c r="B39" s="1372" t="s">
        <v>132</v>
      </c>
      <c r="C39" s="1372" t="s">
        <v>133</v>
      </c>
      <c r="D39" s="1372" t="s">
        <v>134</v>
      </c>
      <c r="E39" s="1366" t="s">
        <v>428</v>
      </c>
      <c r="F39" s="1366" t="s">
        <v>429</v>
      </c>
      <c r="G39" s="1366" t="s">
        <v>430</v>
      </c>
      <c r="H39" s="1366"/>
      <c r="I39" s="1366" t="s">
        <v>483</v>
      </c>
      <c r="J39" s="1366" t="s">
        <v>433</v>
      </c>
      <c r="K39" s="1366" t="s">
        <v>484</v>
      </c>
      <c r="L39" s="1366" t="s">
        <v>413</v>
      </c>
      <c r="Q39" s="378"/>
      <c r="R39" s="378"/>
      <c r="S39" s="2295"/>
      <c r="T39" s="2232"/>
      <c r="U39" s="304"/>
      <c r="V39" s="1485" t="s">
        <v>511</v>
      </c>
      <c r="W39" s="1224" t="s">
        <v>512</v>
      </c>
      <c r="X39" s="1224" t="s">
        <v>487</v>
      </c>
      <c r="Y39" s="1491" t="s">
        <v>437</v>
      </c>
      <c r="Z39" s="2291" t="s">
        <v>438</v>
      </c>
      <c r="AA39" s="2292"/>
      <c r="AB39" s="2301"/>
      <c r="AC39" s="1485" t="s">
        <v>511</v>
      </c>
      <c r="AD39" s="1224" t="s">
        <v>512</v>
      </c>
      <c r="AE39" s="1224" t="s">
        <v>487</v>
      </c>
      <c r="AF39" s="1491" t="s">
        <v>437</v>
      </c>
      <c r="AG39" s="2291" t="s">
        <v>438</v>
      </c>
      <c r="AH39" s="2292"/>
      <c r="AI39" s="2301"/>
      <c r="AJ39" s="2304"/>
      <c r="AK39" s="2140"/>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106</v>
      </c>
      <c r="T40" s="1257" t="s">
        <v>107</v>
      </c>
      <c r="U40" s="1247" t="str">
        <f>OFFSET(U40,0,-1)</f>
        <v>2</v>
      </c>
      <c r="V40" s="1484">
        <f>OFFSET(V40,0,-1)+1</f>
        <v>3</v>
      </c>
      <c r="W40" s="1484">
        <f>OFFSET(W40,0,-1)+1</f>
        <v>4</v>
      </c>
      <c r="X40" s="1484">
        <f>OFFSET(X40,0,-1)+1</f>
        <v>5</v>
      </c>
      <c r="Y40" s="1484">
        <f>OFFSET(Y40,0,-1)+1</f>
        <v>6</v>
      </c>
      <c r="Z40" s="2293">
        <f>OFFSET(Z40,0,-1)+1</f>
        <v>7</v>
      </c>
      <c r="AA40" s="2293"/>
      <c r="AB40" s="1484">
        <f>OFFSET(AB40,0,-2)+1</f>
        <v>8</v>
      </c>
      <c r="AC40" s="1484">
        <f>OFFSET(AC40,0,-1)+1</f>
        <v>9</v>
      </c>
      <c r="AD40" s="1484">
        <f>OFFSET(AD40,0,-1)+1</f>
        <v>10</v>
      </c>
      <c r="AE40" s="1484">
        <f>OFFSET(AE40,0,-1)+1</f>
        <v>11</v>
      </c>
      <c r="AF40" s="1484">
        <f>OFFSET(AF40,0,-1)+1</f>
        <v>12</v>
      </c>
      <c r="AG40" s="2293">
        <f>OFFSET(AG40,0,-1)+1</f>
        <v>13</v>
      </c>
      <c r="AH40" s="2293"/>
      <c r="AI40" s="1484">
        <f>OFFSET(AI40,0,-2)+1</f>
        <v>14</v>
      </c>
      <c r="AJ40" s="1247">
        <f>OFFSET(AJ40,0,-1)</f>
        <v>14</v>
      </c>
      <c r="AK40" s="1484">
        <f>OFFSET(AK40,0,-1)+1</f>
        <v>15</v>
      </c>
      <c r="AL40" s="513"/>
      <c r="AM40" s="513"/>
      <c r="AN40" s="513"/>
      <c r="AO40" s="513"/>
      <c r="AP40" s="513"/>
      <c r="AQ40" s="498">
        <v>0</v>
      </c>
    </row>
    <row customHeight="1" ht="24">
      <c r="A41" s="1365" t="s">
        <v>261</v>
      </c>
      <c r="B41" s="1365"/>
      <c r="C41" s="1365"/>
      <c r="D41" s="1365"/>
      <c r="E41" s="2277">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120</v>
      </c>
      <c r="U41" s="302"/>
      <c r="V41" s="2271"/>
      <c r="W41" s="2272"/>
      <c r="X41" s="2272"/>
      <c r="Y41" s="2272"/>
      <c r="Z41" s="2272"/>
      <c r="AA41" s="2272"/>
      <c r="AB41" s="2273"/>
      <c r="AC41" s="2271" t="str">
        <f>INDEX(PT_DIFFERENTIATION_NTAR,MATCH(A41,PT_DIFFERENTIATION_NTAR_ID,0))</f>
        <v/>
      </c>
      <c r="AD41" s="2272"/>
      <c r="AE41" s="2272"/>
      <c r="AF41" s="2272"/>
      <c r="AG41" s="2272"/>
      <c r="AH41" s="2272"/>
      <c r="AI41" s="2272"/>
      <c r="AJ41" s="2273"/>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261</v>
      </c>
      <c r="B42" s="1365" t="s">
        <v>262</v>
      </c>
      <c r="C42" s="1365"/>
      <c r="D42" s="1365"/>
      <c r="E42" s="2278"/>
      <c r="F42" s="2277">
        <v>1</v>
      </c>
      <c r="G42" s="1365"/>
      <c r="H42" s="1365"/>
      <c r="I42" s="1365"/>
      <c r="J42" s="1365"/>
      <c r="K42" s="1365"/>
      <c r="L42" s="1366"/>
      <c r="M42" s="1367"/>
      <c r="N42" s="1367"/>
      <c r="O42" s="1367"/>
      <c r="P42" s="1489"/>
      <c r="Q42" s="354"/>
      <c r="R42" s="355"/>
      <c r="S42" s="1495" t="str">
        <f>INDEX(PT_DIFFERENTIATION_NUM_TER,MATCH(B42,PT_DIFFERENTIATION_TER_ID,0))</f>
        <v>.</v>
      </c>
      <c r="T42" s="310" t="s">
        <v>392</v>
      </c>
      <c r="U42" s="302"/>
      <c r="V42" s="2271"/>
      <c r="W42" s="2272"/>
      <c r="X42" s="2272"/>
      <c r="Y42" s="2272"/>
      <c r="Z42" s="2272"/>
      <c r="AA42" s="2272"/>
      <c r="AB42" s="2273"/>
      <c r="AC42" s="2271" t="str">
        <f>INDEX(PT_DIFFERENTIATION_TER,MATCH(B42,PT_DIFFERENTIATION_TER_ID,0))</f>
        <v/>
      </c>
      <c r="AD42" s="2272"/>
      <c r="AE42" s="2272"/>
      <c r="AF42" s="2272"/>
      <c r="AG42" s="2272"/>
      <c r="AH42" s="2272"/>
      <c r="AI42" s="2272"/>
      <c r="AJ42" s="2273"/>
      <c r="AK42" s="1260" t="s">
        <v>393</v>
      </c>
      <c r="AM42" s="502"/>
      <c r="AN42" s="502" t="str">
        <f>IF(T42="","",T42)</f>
        <v>Территория действия тарифа</v>
      </c>
      <c r="AO42" s="502"/>
      <c r="AP42" s="502"/>
      <c r="AQ42" s="1157">
        <v>23</v>
      </c>
    </row>
    <row customHeight="1" ht="24">
      <c r="A43" s="1365" t="s">
        <v>261</v>
      </c>
      <c r="B43" s="1365" t="s">
        <v>262</v>
      </c>
      <c r="C43" s="1365" t="s">
        <v>263</v>
      </c>
      <c r="D43" s="1365"/>
      <c r="E43" s="2278"/>
      <c r="F43" s="2278"/>
      <c r="G43" s="2277">
        <v>1</v>
      </c>
      <c r="H43" s="1365"/>
      <c r="I43" s="1365"/>
      <c r="J43" s="1365"/>
      <c r="K43" s="1365"/>
      <c r="L43" s="1366"/>
      <c r="M43" s="1367"/>
      <c r="N43" s="1367"/>
      <c r="O43" s="1367"/>
      <c r="P43" s="356"/>
      <c r="Q43" s="354"/>
      <c r="R43" s="355"/>
      <c r="S43" s="1495" t="str">
        <f>INDEX(PT_DIFFERENTIATION_NUM_CS,MATCH(C43,PT_DIFFERENTIATION_CS_ID,0))</f>
        <v>..</v>
      </c>
      <c r="T43" s="311" t="s">
        <v>509</v>
      </c>
      <c r="U43" s="302"/>
      <c r="V43" s="2271"/>
      <c r="W43" s="2272"/>
      <c r="X43" s="2272"/>
      <c r="Y43" s="2272"/>
      <c r="Z43" s="2272"/>
      <c r="AA43" s="2272"/>
      <c r="AB43" s="2273"/>
      <c r="AC43" s="2271" t="str">
        <f>INDEX(PT_DIFFERENTIATION_CS,MATCH(C43,PT_DIFFERENTIATION_CS_ID,0))</f>
        <v/>
      </c>
      <c r="AD43" s="2272"/>
      <c r="AE43" s="2272"/>
      <c r="AF43" s="2272"/>
      <c r="AG43" s="2272"/>
      <c r="AH43" s="2272"/>
      <c r="AI43" s="2272"/>
      <c r="AJ43" s="2273"/>
      <c r="AK43" s="1260" t="s">
        <v>510</v>
      </c>
      <c r="AM43" s="502"/>
      <c r="AN43" s="502" t="str">
        <f>IF(T43="","",T43)</f>
        <v>Наименование централизованной системы водоотведения</v>
      </c>
      <c r="AO43" s="502"/>
      <c r="AP43" s="502"/>
      <c r="AQ43" s="1157">
        <v>23</v>
      </c>
    </row>
    <row customHeight="1" ht="24">
      <c r="A44" s="1365" t="s">
        <v>261</v>
      </c>
      <c r="B44" s="1365" t="s">
        <v>262</v>
      </c>
      <c r="C44" s="1365" t="s">
        <v>263</v>
      </c>
      <c r="D44" s="1365" t="s">
        <v>513</v>
      </c>
      <c r="E44" s="2278"/>
      <c r="F44" s="2278"/>
      <c r="G44" s="2278"/>
      <c r="H44" s="2278"/>
      <c r="I44" s="2279" t="str">
        <f>S43&amp;".1"</f>
        <v>...1</v>
      </c>
      <c r="J44" s="1365"/>
      <c r="K44" s="1365"/>
      <c r="L44" s="1366"/>
      <c r="P44" s="2281">
        <v>1</v>
      </c>
      <c r="Q44" s="1483"/>
      <c r="R44" s="358"/>
      <c r="S44" s="1495" t="str">
        <f>$I44</f>
        <v>...1</v>
      </c>
      <c r="T44" s="287" t="s">
        <v>476</v>
      </c>
      <c r="U44" s="302"/>
      <c r="V44" s="2375"/>
      <c r="W44" s="2376"/>
      <c r="X44" s="2376"/>
      <c r="Y44" s="2376"/>
      <c r="Z44" s="2376"/>
      <c r="AA44" s="2376"/>
      <c r="AB44" s="2377"/>
      <c r="AC44" s="2378"/>
      <c r="AD44" s="2379"/>
      <c r="AE44" s="2379"/>
      <c r="AF44" s="2379"/>
      <c r="AG44" s="2379"/>
      <c r="AH44" s="2379"/>
      <c r="AI44" s="2379"/>
      <c r="AJ44" s="2380"/>
      <c r="AK44" s="1260" t="s">
        <v>477</v>
      </c>
      <c r="AM44" s="502"/>
      <c r="AN44" s="502" t="str">
        <f>IF(T44="","",T44)</f>
        <v>Наименование признака дифференциации</v>
      </c>
      <c r="AO44" s="502"/>
      <c r="AP44" s="502"/>
      <c r="AQ44" s="1157">
        <v>23</v>
      </c>
    </row>
    <row customHeight="1" ht="24">
      <c r="A45" s="1365" t="s">
        <v>261</v>
      </c>
      <c r="B45" s="1365" t="s">
        <v>262</v>
      </c>
      <c r="C45" s="1365" t="s">
        <v>263</v>
      </c>
      <c r="D45" s="1365" t="s">
        <v>513</v>
      </c>
      <c r="E45" s="2278"/>
      <c r="F45" s="2278"/>
      <c r="G45" s="2278"/>
      <c r="H45" s="2278"/>
      <c r="I45" s="2280"/>
      <c r="J45" s="2279" t="str">
        <f>I44&amp;".1"</f>
        <v>...1.1</v>
      </c>
      <c r="K45" s="1365"/>
      <c r="L45" s="1366" t="s">
        <v>401</v>
      </c>
      <c r="P45" s="2281"/>
      <c r="Q45" s="2281">
        <v>1</v>
      </c>
      <c r="R45" s="359"/>
      <c r="S45" s="1495" t="str">
        <f>$J45</f>
        <v>...1.1</v>
      </c>
      <c r="T45" s="288" t="s">
        <v>402</v>
      </c>
      <c r="U45" s="302"/>
      <c r="V45" s="2265"/>
      <c r="W45" s="2266"/>
      <c r="X45" s="2266"/>
      <c r="Y45" s="2266"/>
      <c r="Z45" s="2266"/>
      <c r="AA45" s="2266"/>
      <c r="AB45" s="2267"/>
      <c r="AC45" s="2265"/>
      <c r="AD45" s="2266"/>
      <c r="AE45" s="2266"/>
      <c r="AF45" s="2266"/>
      <c r="AG45" s="2266"/>
      <c r="AH45" s="2266"/>
      <c r="AI45" s="2266"/>
      <c r="AJ45" s="2267"/>
      <c r="AK45" s="1309" t="s">
        <v>478</v>
      </c>
      <c r="AM45" s="502"/>
      <c r="AN45" s="502" t="str">
        <f>IF(T45="","",T45)</f>
        <v>Группа потребителей</v>
      </c>
      <c r="AO45" s="502"/>
      <c r="AP45" s="502"/>
      <c r="AQ45" s="1157">
        <v>23</v>
      </c>
    </row>
    <row customHeight="1" ht="24">
      <c r="A46" s="1365" t="s">
        <v>261</v>
      </c>
      <c r="B46" s="1365" t="s">
        <v>262</v>
      </c>
      <c r="C46" s="1365" t="s">
        <v>263</v>
      </c>
      <c r="D46" s="1365" t="s">
        <v>513</v>
      </c>
      <c r="E46" s="2278"/>
      <c r="F46" s="2278"/>
      <c r="G46" s="2278"/>
      <c r="H46" s="2278"/>
      <c r="I46" s="2280"/>
      <c r="J46" s="2280"/>
      <c r="K46" s="2279" t="str">
        <f>J45&amp;".1"</f>
        <v>...1.1.1</v>
      </c>
      <c r="L46" s="1366"/>
      <c r="P46" s="2281"/>
      <c r="Q46" s="2281"/>
      <c r="R46" s="359">
        <v>1</v>
      </c>
      <c r="S46" s="1495" t="str">
        <f>$K46</f>
        <v>...1.1.1</v>
      </c>
      <c r="T46" s="1439"/>
      <c r="U46" s="302"/>
      <c r="V46" s="1362"/>
      <c r="W46" s="1362"/>
      <c r="X46" s="1363"/>
      <c r="Y46" s="2275"/>
      <c r="Z46" s="2274" t="s">
        <v>65</v>
      </c>
      <c r="AA46" s="2275"/>
      <c r="AB46" s="2274" t="s">
        <v>65</v>
      </c>
      <c r="AC46" s="753"/>
      <c r="AD46" s="753"/>
      <c r="AE46" s="1259"/>
      <c r="AF46" s="2282"/>
      <c r="AG46" s="2150" t="s">
        <v>65</v>
      </c>
      <c r="AH46" s="2284"/>
      <c r="AI46" s="2150" t="s">
        <v>19</v>
      </c>
      <c r="AJ46" s="1440"/>
      <c r="AK46"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261</v>
      </c>
      <c r="B47" s="1365" t="s">
        <v>262</v>
      </c>
      <c r="C47" s="1365" t="s">
        <v>263</v>
      </c>
      <c r="D47" s="1365" t="s">
        <v>513</v>
      </c>
      <c r="E47" s="2278"/>
      <c r="F47" s="2278"/>
      <c r="G47" s="2278"/>
      <c r="H47" s="2278"/>
      <c r="I47" s="2280"/>
      <c r="J47" s="2280"/>
      <c r="K47" s="2279"/>
      <c r="L47" s="1366"/>
      <c r="P47" s="2281"/>
      <c r="Q47" s="2281"/>
      <c r="R47" s="359"/>
      <c r="S47" s="1492"/>
      <c r="T47" s="302"/>
      <c r="U47" s="302"/>
      <c r="V47" s="1362"/>
      <c r="W47" s="1362"/>
      <c r="X47" s="330" t="str">
        <f>Y46&amp;"-"&amp;AA46</f>
        <v>-</v>
      </c>
      <c r="Y47" s="2274"/>
      <c r="Z47" s="2274"/>
      <c r="AA47" s="2274"/>
      <c r="AB47" s="2274"/>
      <c r="AC47" s="327"/>
      <c r="AD47" s="327"/>
      <c r="AE47" s="330" t="str">
        <f>AF46&amp;"-"&amp;AH46</f>
        <v>-</v>
      </c>
      <c r="AF47" s="2283"/>
      <c r="AG47" s="2150"/>
      <c r="AH47" s="2285"/>
      <c r="AI47" s="2150"/>
      <c r="AJ47" s="1441"/>
      <c r="AK47" s="2381"/>
      <c r="AM47" s="502"/>
      <c r="AN47" s="502" t="str">
        <f>IF(T47="","",T47)</f>
        <v/>
      </c>
      <c r="AO47" s="502"/>
      <c r="AP47" s="502"/>
      <c r="AQ47" s="1157">
        <v>0</v>
      </c>
    </row>
    <row customHeight="1" ht="21">
      <c r="A48" s="1365" t="s">
        <v>261</v>
      </c>
      <c r="B48" s="1365" t="s">
        <v>262</v>
      </c>
      <c r="C48" s="1365" t="s">
        <v>263</v>
      </c>
      <c r="D48" s="1365" t="s">
        <v>513</v>
      </c>
      <c r="E48" s="2278"/>
      <c r="F48" s="2278"/>
      <c r="G48" s="2278"/>
      <c r="H48" s="2278"/>
      <c r="I48" s="2280"/>
      <c r="J48" s="2279"/>
      <c r="K48" s="1365"/>
      <c r="L48" s="1366"/>
      <c r="P48" s="2281"/>
      <c r="Q48" s="2281"/>
      <c r="R48" s="358"/>
      <c r="S48" s="1280"/>
      <c r="T48" s="289" t="s">
        <v>479</v>
      </c>
      <c r="U48" s="369"/>
      <c r="V48" s="369"/>
      <c r="W48" s="369"/>
      <c r="X48" s="369"/>
      <c r="Y48" s="369"/>
      <c r="Z48" s="369"/>
      <c r="AA48" s="369"/>
      <c r="AB48" s="369"/>
      <c r="AC48" s="369"/>
      <c r="AD48" s="369"/>
      <c r="AE48" s="369"/>
      <c r="AF48" s="369"/>
      <c r="AG48" s="369"/>
      <c r="AH48" s="369"/>
      <c r="AI48" s="369"/>
      <c r="AJ48" s="369"/>
      <c r="AK48" s="1260" t="s">
        <v>480</v>
      </c>
      <c r="AM48" s="502"/>
      <c r="AN48" s="502" t="str">
        <f>IF(T48="","",T48)</f>
        <v>Добавить значение признака дифференциации</v>
      </c>
      <c r="AO48" s="502"/>
      <c r="AP48" s="502"/>
      <c r="AQ48" s="1157">
        <v>20</v>
      </c>
    </row>
    <row customHeight="1" ht="22.049999999999997">
      <c r="A49" s="1365" t="s">
        <v>261</v>
      </c>
      <c r="B49" s="1365" t="s">
        <v>262</v>
      </c>
      <c r="C49" s="1365" t="s">
        <v>263</v>
      </c>
      <c r="D49" s="1365" t="s">
        <v>513</v>
      </c>
      <c r="E49" s="2278"/>
      <c r="F49" s="2278"/>
      <c r="G49" s="2278"/>
      <c r="H49" s="2278"/>
      <c r="I49" s="2279"/>
      <c r="J49" s="1365"/>
      <c r="K49" s="1365"/>
      <c r="L49" s="1366"/>
      <c r="P49" s="2281"/>
      <c r="Q49" s="1483"/>
      <c r="R49" s="358"/>
      <c r="S49" s="1280"/>
      <c r="T49" s="367" t="s">
        <v>407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261</v>
      </c>
      <c r="B50" s="1365" t="s">
        <v>262</v>
      </c>
      <c r="C50" s="1365" t="s">
        <v>263</v>
      </c>
      <c r="D50" s="1365" t="s">
        <v>513</v>
      </c>
      <c r="E50" s="2278"/>
      <c r="F50" s="2278"/>
      <c r="G50" s="2278"/>
      <c r="H50" s="2277"/>
      <c r="I50" s="1365"/>
      <c r="J50" s="1365"/>
      <c r="K50" s="1365"/>
      <c r="L50" s="1366"/>
      <c r="M50" s="1367"/>
      <c r="N50" s="1367"/>
      <c r="O50" s="539"/>
      <c r="P50" s="362"/>
      <c r="Q50" s="377"/>
      <c r="R50" s="357"/>
      <c r="S50" s="1280"/>
      <c r="T50" s="374" t="s">
        <v>481</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261</v>
      </c>
      <c r="B51" s="1345" t="s">
        <v>262</v>
      </c>
      <c r="C51" s="1316"/>
      <c r="D51" s="1316"/>
      <c r="E51" s="2278"/>
      <c r="F51" s="2277"/>
      <c r="G51" s="1316"/>
      <c r="H51" s="1316"/>
      <c r="I51" s="1316"/>
      <c r="J51" s="1316"/>
      <c r="K51" s="1316"/>
      <c r="L51" s="1496"/>
      <c r="M51" s="1323"/>
      <c r="N51" s="1323"/>
      <c r="P51" s="1318"/>
      <c r="Q51" s="1319"/>
      <c r="R51" s="1318"/>
      <c r="S51" s="1324"/>
      <c r="T51" s="1327" t="s">
        <v>410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261</v>
      </c>
      <c r="B52" s="1345"/>
      <c r="C52" s="1345"/>
      <c r="D52" s="1345"/>
      <c r="E52" s="2277"/>
      <c r="F52" s="1345"/>
      <c r="G52" s="1345"/>
      <c r="H52" s="1345"/>
      <c r="I52" s="1345"/>
      <c r="J52" s="1345"/>
      <c r="K52" s="1345"/>
      <c r="L52" s="1348"/>
      <c r="M52" s="1323"/>
      <c r="N52" s="1323"/>
      <c r="O52" s="520"/>
      <c r="P52" s="382"/>
      <c r="Q52" s="1346"/>
      <c r="R52" s="382"/>
      <c r="S52" s="1324"/>
      <c r="T52" s="1327" t="s">
        <v>411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439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76"/>
      <c r="U55" s="2276"/>
      <c r="V55" s="2276"/>
      <c r="W55" s="2276"/>
      <c r="X55" s="2276"/>
      <c r="Y55" s="2276"/>
      <c r="Z55" s="2276"/>
      <c r="AA55" s="2276"/>
      <c r="AB55" s="2276"/>
      <c r="AC55" s="2276"/>
      <c r="AD55" s="2276"/>
      <c r="AE55" s="2276"/>
      <c r="AF55" s="2276"/>
      <c r="AG55" s="2276"/>
      <c r="AH55" s="2276"/>
      <c r="AI55" s="2276"/>
      <c r="AJ55" s="2276"/>
      <c r="AK55" s="2276"/>
      <c r="AQ55" s="1157">
        <v>14</v>
      </c>
    </row>
    <row customHeight="1" ht="14.699999999999998">
      <c r="O56" s="539"/>
      <c r="AQ56" s="1157">
        <v>14</v>
      </c>
    </row>
    <row customHeight="1" ht="14.699999999999998">
      <c r="O57" s="539"/>
      <c r="S57" s="1255"/>
      <c r="T57" s="2276"/>
      <c r="U57" s="2276"/>
      <c r="V57" s="2276"/>
      <c r="W57" s="2276"/>
      <c r="X57" s="2276"/>
      <c r="Y57" s="2276"/>
      <c r="Z57" s="2276"/>
      <c r="AA57" s="2276"/>
      <c r="AB57" s="2276"/>
      <c r="AC57" s="2276"/>
      <c r="AD57" s="2276"/>
      <c r="AE57" s="2276"/>
      <c r="AF57" s="2276"/>
      <c r="AG57" s="2276"/>
      <c r="AH57" s="2276"/>
      <c r="AI57" s="2276"/>
      <c r="AJ57" s="2276"/>
      <c r="AK57" s="2276"/>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16CF8-31C8-E404-6C3E-03129133A8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95">
        <f>INDEX(PT_DIFFERENTIATION_NUM_NTAR,MATCH(A2,PT_DIFFERENTIATION_NTAR_ID,0))</f>
      </c>
      <c r="T2" s="300" t="s">
        <v>120</v>
      </c>
      <c r="U2" s="302"/>
      <c r="V2" s="2271"/>
      <c r="W2" s="2272"/>
      <c r="X2" s="2272"/>
      <c r="Y2" s="2272"/>
      <c r="Z2" s="2272"/>
      <c r="AA2" s="2272"/>
      <c r="AB2" s="2273"/>
      <c r="AC2" s="2271">
        <f>INDEX(PT_DIFFERENTIATION_NTAR,MATCH(A2,PT_DIFFERENTIATION_NTAR_ID,0))</f>
      </c>
      <c r="AD2" s="2272"/>
      <c r="AE2" s="2272"/>
      <c r="AF2" s="2272"/>
      <c r="AG2" s="2272"/>
      <c r="AH2" s="2272"/>
      <c r="AI2" s="2272"/>
      <c r="AJ2" s="2273"/>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78"/>
      <c r="F3" s="2277">
        <v>1</v>
      </c>
      <c r="G3" s="1365"/>
      <c r="H3" s="1365"/>
      <c r="I3" s="1365"/>
      <c r="J3" s="1365"/>
      <c r="K3" s="1365"/>
      <c r="L3" s="1366"/>
      <c r="M3" s="1367"/>
      <c r="N3" s="1367"/>
      <c r="O3" s="1367"/>
      <c r="P3" s="1489"/>
      <c r="Q3" s="354"/>
      <c r="R3" s="355"/>
      <c r="S3" s="1495">
        <f>INDEX(PT_DIFFERENTIATION_NUM_TER,MATCH(B3,PT_DIFFERENTIATION_TER_ID,0))</f>
      </c>
      <c r="T3" s="310" t="s">
        <v>392</v>
      </c>
      <c r="U3" s="302"/>
      <c r="V3" s="2271"/>
      <c r="W3" s="2272"/>
      <c r="X3" s="2272"/>
      <c r="Y3" s="2272"/>
      <c r="Z3" s="2272"/>
      <c r="AA3" s="2272"/>
      <c r="AB3" s="2273"/>
      <c r="AC3" s="2271">
        <f>INDEX(PT_DIFFERENTIATION_TER,MATCH(B3,PT_DIFFERENTIATION_TER_ID,0))</f>
      </c>
      <c r="AD3" s="2272"/>
      <c r="AE3" s="2272"/>
      <c r="AF3" s="2272"/>
      <c r="AG3" s="2272"/>
      <c r="AH3" s="2272"/>
      <c r="AI3" s="2272"/>
      <c r="AJ3" s="2273"/>
      <c r="AK3" s="1260" t="s">
        <v>393</v>
      </c>
      <c r="AM3" s="502"/>
      <c r="AN3" s="502" t="str">
        <f>IF(T3="","",T3)</f>
        <v>Территория действия тарифа</v>
      </c>
      <c r="AO3" s="502"/>
      <c r="AP3" s="502"/>
      <c r="AQ3" s="1157">
        <v>0</v>
      </c>
    </row>
    <row customHeight="1" ht="23.25" hidden="1">
      <c r="A4" s="1365"/>
      <c r="B4" s="1365"/>
      <c r="C4" s="1365"/>
      <c r="D4" s="1365"/>
      <c r="E4" s="2278"/>
      <c r="F4" s="2278"/>
      <c r="G4" s="2277">
        <v>1</v>
      </c>
      <c r="H4" s="1365"/>
      <c r="I4" s="1365"/>
      <c r="J4" s="1365"/>
      <c r="K4" s="1365"/>
      <c r="L4" s="1366"/>
      <c r="M4" s="1367"/>
      <c r="N4" s="1367"/>
      <c r="O4" s="1367"/>
      <c r="P4" s="356"/>
      <c r="Q4" s="354"/>
      <c r="R4" s="355"/>
      <c r="S4" s="1495">
        <f>INDEX(PT_DIFFERENTIATION_NUM_CS,MATCH(C4,PT_DIFFERENTIATION_CS_ID,0))</f>
      </c>
      <c r="T4" s="311" t="s">
        <v>509</v>
      </c>
      <c r="U4" s="302"/>
      <c r="V4" s="2271"/>
      <c r="W4" s="2272"/>
      <c r="X4" s="2272"/>
      <c r="Y4" s="2272"/>
      <c r="Z4" s="2272"/>
      <c r="AA4" s="2272"/>
      <c r="AB4" s="2273"/>
      <c r="AC4" s="2271">
        <f>INDEX(PT_DIFFERENTIATION_CS,MATCH(C4,PT_DIFFERENTIATION_CS_ID,0))</f>
      </c>
      <c r="AD4" s="2272"/>
      <c r="AE4" s="2272"/>
      <c r="AF4" s="2272"/>
      <c r="AG4" s="2272"/>
      <c r="AH4" s="2272"/>
      <c r="AI4" s="2272"/>
      <c r="AJ4" s="2273"/>
      <c r="AK4" s="1260" t="s">
        <v>510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78"/>
      <c r="F5" s="2278"/>
      <c r="G5" s="2278"/>
      <c r="H5" s="2278"/>
      <c r="I5" s="2279">
        <f>S4&amp;".1"</f>
      </c>
      <c r="J5" s="1365"/>
      <c r="K5" s="1365"/>
      <c r="L5" s="1366"/>
      <c r="P5" s="2281">
        <v>1</v>
      </c>
      <c r="Q5" s="1483"/>
      <c r="R5" s="358"/>
      <c r="S5" s="1495">
        <f>$I5</f>
      </c>
      <c r="T5" s="287" t="s">
        <v>476</v>
      </c>
      <c r="U5" s="302"/>
      <c r="V5" s="2375"/>
      <c r="W5" s="2376"/>
      <c r="X5" s="2376"/>
      <c r="Y5" s="2376"/>
      <c r="Z5" s="2376"/>
      <c r="AA5" s="2376"/>
      <c r="AB5" s="2377"/>
      <c r="AC5" s="2378"/>
      <c r="AD5" s="2379"/>
      <c r="AE5" s="2379"/>
      <c r="AF5" s="2379"/>
      <c r="AG5" s="2379"/>
      <c r="AH5" s="2379"/>
      <c r="AI5" s="2379"/>
      <c r="AJ5" s="2380"/>
      <c r="AK5" s="1260" t="s">
        <v>477</v>
      </c>
      <c r="AM5" s="502"/>
      <c r="AN5" s="502" t="str">
        <f>IF(T5="","",T5)</f>
        <v>Наименование признака дифференциации</v>
      </c>
      <c r="AO5" s="502"/>
      <c r="AP5" s="502"/>
      <c r="AQ5" s="1157">
        <v>0</v>
      </c>
    </row>
    <row customHeight="1" ht="23.25" hidden="1">
      <c r="A6" s="1365"/>
      <c r="B6" s="1365"/>
      <c r="C6" s="1365"/>
      <c r="D6" s="1365"/>
      <c r="E6" s="2278"/>
      <c r="F6" s="2278"/>
      <c r="G6" s="2278"/>
      <c r="H6" s="2278"/>
      <c r="I6" s="2280"/>
      <c r="J6" s="2279">
        <f>I5&amp;".1"</f>
      </c>
      <c r="K6" s="1365"/>
      <c r="L6" s="1366" t="s">
        <v>401</v>
      </c>
      <c r="P6" s="2281"/>
      <c r="Q6" s="2281">
        <v>1</v>
      </c>
      <c r="R6" s="359"/>
      <c r="S6" s="1495">
        <f>$J6</f>
      </c>
      <c r="T6" s="288" t="s">
        <v>402</v>
      </c>
      <c r="U6" s="302"/>
      <c r="V6" s="2265"/>
      <c r="W6" s="2266"/>
      <c r="X6" s="2266"/>
      <c r="Y6" s="2266"/>
      <c r="Z6" s="2266"/>
      <c r="AA6" s="2266"/>
      <c r="AB6" s="2267"/>
      <c r="AC6" s="2265"/>
      <c r="AD6" s="2266"/>
      <c r="AE6" s="2266"/>
      <c r="AF6" s="2266"/>
      <c r="AG6" s="2266"/>
      <c r="AH6" s="2266"/>
      <c r="AI6" s="2266"/>
      <c r="AJ6" s="2267"/>
      <c r="AK6" s="1309" t="s">
        <v>478</v>
      </c>
      <c r="AM6" s="502"/>
      <c r="AN6" s="502" t="str">
        <f>IF(T6="","",T6)</f>
        <v>Группа потребителей</v>
      </c>
      <c r="AO6" s="502"/>
      <c r="AP6" s="502"/>
      <c r="AQ6" s="1157">
        <v>0</v>
      </c>
    </row>
    <row customHeight="1" ht="23.25" hidden="1">
      <c r="A7" s="1365"/>
      <c r="B7" s="1365"/>
      <c r="C7" s="1365"/>
      <c r="D7" s="1365"/>
      <c r="E7" s="2278"/>
      <c r="F7" s="2278"/>
      <c r="G7" s="2278"/>
      <c r="H7" s="2278"/>
      <c r="I7" s="2280"/>
      <c r="J7" s="2280"/>
      <c r="K7" s="2279">
        <f>J6&amp;".1"</f>
      </c>
      <c r="L7" s="1366"/>
      <c r="P7" s="2281"/>
      <c r="Q7" s="2281"/>
      <c r="R7" s="359">
        <v>1</v>
      </c>
      <c r="S7" s="1495">
        <f>$K7</f>
      </c>
      <c r="T7" s="1439"/>
      <c r="U7" s="302"/>
      <c r="V7" s="753"/>
      <c r="W7" s="753"/>
      <c r="X7" s="1259"/>
      <c r="Y7" s="2282"/>
      <c r="Z7" s="2150" t="s">
        <v>65</v>
      </c>
      <c r="AA7" s="2282"/>
      <c r="AB7" s="2150" t="s">
        <v>65</v>
      </c>
      <c r="AC7" s="753"/>
      <c r="AD7" s="753"/>
      <c r="AE7" s="1259"/>
      <c r="AF7" s="2282"/>
      <c r="AG7" s="2150" t="s">
        <v>65</v>
      </c>
      <c r="AH7" s="2284"/>
      <c r="AI7" s="2150" t="s">
        <v>65</v>
      </c>
      <c r="AJ7" s="1440"/>
      <c r="AK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78"/>
      <c r="F8" s="2278"/>
      <c r="G8" s="2278"/>
      <c r="H8" s="2278"/>
      <c r="I8" s="2280"/>
      <c r="J8" s="2280"/>
      <c r="K8" s="2279"/>
      <c r="L8" s="1366"/>
      <c r="P8" s="2281"/>
      <c r="Q8" s="2281"/>
      <c r="R8" s="359"/>
      <c r="S8" s="1492"/>
      <c r="T8" s="302"/>
      <c r="U8" s="302"/>
      <c r="V8" s="327"/>
      <c r="W8" s="327"/>
      <c r="X8" s="330" t="str">
        <f>Y7&amp;"-"&amp;AA7</f>
        <v>-</v>
      </c>
      <c r="Y8" s="2283"/>
      <c r="Z8" s="2150"/>
      <c r="AA8" s="2283"/>
      <c r="AB8" s="2150"/>
      <c r="AC8" s="327"/>
      <c r="AD8" s="327"/>
      <c r="AE8" s="330" t="str">
        <f>AF7&amp;"-"&amp;AH7</f>
        <v>-</v>
      </c>
      <c r="AF8" s="2283"/>
      <c r="AG8" s="2150"/>
      <c r="AH8" s="2285"/>
      <c r="AI8" s="2150"/>
      <c r="AJ8" s="1441"/>
      <c r="AK8" s="2381"/>
      <c r="AM8" s="502"/>
      <c r="AN8" s="502" t="str">
        <f>IF(T8="","",T8)</f>
        <v/>
      </c>
      <c r="AO8" s="502"/>
      <c r="AP8" s="502"/>
      <c r="AQ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369"/>
      <c r="X9" s="369"/>
      <c r="Y9" s="369"/>
      <c r="Z9" s="369"/>
      <c r="AA9" s="369"/>
      <c r="AB9" s="369"/>
      <c r="AC9" s="369"/>
      <c r="AD9" s="369"/>
      <c r="AE9" s="369"/>
      <c r="AF9" s="369"/>
      <c r="AG9" s="369"/>
      <c r="AH9" s="369"/>
      <c r="AI9" s="369"/>
      <c r="AJ9" s="369"/>
      <c r="AK9" s="1260" t="s">
        <v>480</v>
      </c>
      <c r="AM9" s="502"/>
      <c r="AN9" s="502" t="str">
        <f>IF(T9="","",T9)</f>
        <v>Добавить значение признака дифференциации</v>
      </c>
      <c r="AO9" s="502"/>
      <c r="AP9" s="502"/>
      <c r="AQ9" s="1157">
        <v>0</v>
      </c>
    </row>
    <row customHeight="1" ht="21" hidden="1">
      <c r="A10" s="1365"/>
      <c r="B10" s="1365"/>
      <c r="C10" s="1365"/>
      <c r="D10" s="1365"/>
      <c r="E10" s="2278"/>
      <c r="F10" s="2278"/>
      <c r="G10" s="2278"/>
      <c r="H10" s="2278"/>
      <c r="I10" s="2279"/>
      <c r="J10" s="1365"/>
      <c r="K10" s="1365"/>
      <c r="L10" s="1366"/>
      <c r="P10" s="2281"/>
      <c r="Q10" s="1483"/>
      <c r="R10" s="358"/>
      <c r="S10" s="1280"/>
      <c r="T10" s="367" t="s">
        <v>407</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78"/>
      <c r="F12" s="2277"/>
      <c r="G12" s="1316"/>
      <c r="H12" s="1316"/>
      <c r="I12" s="1316"/>
      <c r="J12" s="1316"/>
      <c r="K12" s="1316"/>
      <c r="L12" s="1496"/>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75"/>
      <c r="AG15" s="2274" t="s">
        <v>65</v>
      </c>
      <c r="AH15" s="2275"/>
      <c r="AI15" s="2274" t="s">
        <v>65</v>
      </c>
      <c r="AQ15" s="1157">
        <v>0</v>
      </c>
    </row>
    <row customHeight="1" ht="14.25" hidden="1">
      <c r="AC16" s="1362"/>
      <c r="AD16" s="1362"/>
      <c r="AE16" s="330" t="str">
        <f>AF15&amp;"-"&amp;AH15</f>
        <v>-</v>
      </c>
      <c r="AF16" s="2274"/>
      <c r="AG16" s="2274"/>
      <c r="AH16" s="2274"/>
      <c r="AI16" s="2274"/>
      <c r="AQ16" s="1157">
        <v>0</v>
      </c>
    </row>
    <row customHeight="1" ht="14.25" hidden="1">
      <c r="AI17" s="329"/>
      <c r="AQ17" s="1157">
        <v>0</v>
      </c>
    </row>
    <row s="1368" customFormat="1" customHeight="1" ht="22.5" hidden="1">
      <c r="L18" s="1480"/>
      <c r="M18" s="1364"/>
      <c r="N18" s="1364"/>
      <c r="O18" s="1369" t="s">
        <v>412</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413</v>
      </c>
      <c r="P20" s="1364"/>
      <c r="Q20" s="1444"/>
      <c r="R20" s="1444"/>
      <c r="S20" s="731"/>
      <c r="T20" s="1162" t="s">
        <v>414</v>
      </c>
      <c r="Z20" s="188" t="s">
        <v>415</v>
      </c>
      <c r="AB20" s="188" t="s">
        <v>416</v>
      </c>
      <c r="AC20" s="1162" t="s">
        <v>414</v>
      </c>
      <c r="AG20" s="188" t="s">
        <v>417</v>
      </c>
      <c r="AI20" s="188" t="s">
        <v>416</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3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0"/>
      <c r="U24" s="2310"/>
      <c r="V24" s="2310"/>
      <c r="W24" s="2310"/>
      <c r="X24" s="2310"/>
      <c r="Y24" s="2310"/>
      <c r="Z24" s="2310"/>
      <c r="AA24" s="2310"/>
      <c r="AB24" s="2310"/>
      <c r="AC24" s="2310"/>
      <c r="AD24" s="2310"/>
      <c r="AE24" s="2310"/>
      <c r="AF24" s="2310"/>
      <c r="AG24" s="2310"/>
      <c r="AH24" s="2310"/>
      <c r="AI24" s="1245"/>
      <c r="AQ24" s="1157">
        <v>14</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328"/>
      <c r="AC27" s="2270" t="str">
        <f>IF(TITLE_NAME_OR_PR_CHANGE="",IF(TITLE_NAME_OR_PR="","",TITLE_NAME_OR_PR),TITLE_NAME_OR_PR_CHANGE)</f>
        <v/>
      </c>
      <c r="AD27" s="2270"/>
      <c r="AE27" s="2270"/>
      <c r="AF27" s="2270"/>
      <c r="AG27" s="2270"/>
      <c r="AH27" s="2270"/>
      <c r="AI27" s="328"/>
      <c r="AJ27" s="328"/>
      <c r="AK27" s="282"/>
      <c r="AL27" s="370"/>
      <c r="AM27" s="370"/>
      <c r="AN27" s="370"/>
      <c r="AO27" s="370"/>
      <c r="AP27" s="370"/>
      <c r="AQ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328"/>
      <c r="AC28" s="2269" t="str">
        <f>IF(TITLE_DATE_PR_CHANGE="",IF(TITLE_DATE_PR="","",TITLE_DATE_PR),TITLE_DATE_PR_CHANGE)</f>
        <v/>
      </c>
      <c r="AD28" s="2269"/>
      <c r="AE28" s="2269"/>
      <c r="AF28" s="2269"/>
      <c r="AG28" s="2269"/>
      <c r="AH28" s="2269"/>
      <c r="AI28" s="328"/>
      <c r="AJ28" s="328"/>
      <c r="AK28" s="282"/>
      <c r="AL28" s="370"/>
      <c r="AM28" s="370"/>
      <c r="AN28" s="370"/>
      <c r="AO28" s="370"/>
      <c r="AP28" s="370"/>
      <c r="AQ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328"/>
      <c r="AC29" s="2270" t="str">
        <f>IF(TITLE_NUMBER_PR_CHANGE="",IF(TITLE_NUMBER_PR="","",TITLE_NUMBER_PR),TITLE_NUMBER_PR_CHANGE)</f>
        <v/>
      </c>
      <c r="AD29" s="2270"/>
      <c r="AE29" s="2270"/>
      <c r="AF29" s="2270"/>
      <c r="AG29" s="2270"/>
      <c r="AH29" s="2270"/>
      <c r="AI29" s="328"/>
      <c r="AJ29" s="328"/>
      <c r="AK29" s="282"/>
      <c r="AL29" s="370"/>
      <c r="AM29" s="370"/>
      <c r="AN29" s="370"/>
      <c r="AO29" s="370"/>
      <c r="AP29" s="370"/>
      <c r="AQ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328"/>
      <c r="AC30" s="2270" t="str">
        <f>IF(TITLE_IST_PUB_CHANGE="",IF(TITLE_IST_PUB="","",TITLE_IST_PUB),TITLE_IST_PUB_CHANGE)</f>
        <v/>
      </c>
      <c r="AD30" s="2270"/>
      <c r="AE30" s="2270"/>
      <c r="AF30" s="2270"/>
      <c r="AG30" s="2270"/>
      <c r="AH30" s="2270"/>
      <c r="AI30" s="328"/>
      <c r="AJ30" s="328"/>
      <c r="AK30" s="282"/>
      <c r="AL30" s="370"/>
      <c r="AM30" s="370"/>
      <c r="AN30" s="370"/>
      <c r="AO30" s="370"/>
      <c r="AP30" s="370"/>
      <c r="AQ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511"/>
      <c r="AQ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328"/>
      <c r="AC32" s="2269" t="str">
        <f>IF(TITLE_DATE_PR_CHANGE="",IF(TITLE_DATE_PR="","",TITLE_DATE_PR),TITLE_DATE_PR_CHANGE)</f>
        <v/>
      </c>
      <c r="AD32" s="2269"/>
      <c r="AE32" s="2269"/>
      <c r="AF32" s="2269"/>
      <c r="AG32" s="2269"/>
      <c r="AH32" s="2269"/>
      <c r="AI32" s="328"/>
      <c r="AJ32" s="328"/>
      <c r="AK32" s="282"/>
      <c r="AL32" s="370"/>
      <c r="AM32" s="370"/>
      <c r="AN32" s="370"/>
      <c r="AO32" s="370"/>
      <c r="AP32" s="370"/>
      <c r="AQ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328"/>
      <c r="AC33" s="2270" t="str">
        <f>IF(TITLE_NUMBER_PR_CHANGE="",IF(TITLE_NUMBER_PR="","",TITLE_NUMBER_PR),TITLE_NUMBER_PR_CHANGE)</f>
        <v/>
      </c>
      <c r="AD33" s="2270"/>
      <c r="AE33" s="2270"/>
      <c r="AF33" s="2270"/>
      <c r="AG33" s="2270"/>
      <c r="AH33" s="2270"/>
      <c r="AI33" s="328"/>
      <c r="AJ33" s="328"/>
      <c r="AK33" s="282"/>
      <c r="AL33" s="370"/>
      <c r="AM33" s="370"/>
      <c r="AN33" s="370"/>
      <c r="AO33" s="370"/>
      <c r="AP33" s="370"/>
      <c r="AQ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418</v>
      </c>
      <c r="AC34" s="328"/>
      <c r="AD34" s="328"/>
      <c r="AE34" s="328"/>
      <c r="AF34" s="328"/>
      <c r="AG34" s="328"/>
      <c r="AH34" s="328"/>
      <c r="AI34" s="280" t="s">
        <v>418</v>
      </c>
      <c r="AL34" s="370"/>
      <c r="AM34" s="370"/>
      <c r="AN34" s="370"/>
      <c r="AO34" s="370"/>
      <c r="AP34" s="370"/>
      <c r="AQ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Q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t="s">
        <v>296</v>
      </c>
      <c r="AQ36" s="1157">
        <v>14</v>
      </c>
    </row>
    <row customHeight="1" ht="14.699999999999998">
      <c r="Q37" s="378"/>
      <c r="R37" s="378"/>
      <c r="S37" s="2295" t="s">
        <v>88</v>
      </c>
      <c r="T37" s="2232" t="s">
        <v>419</v>
      </c>
      <c r="U37" s="303"/>
      <c r="V37" s="2296" t="s">
        <v>420</v>
      </c>
      <c r="W37" s="2297"/>
      <c r="X37" s="2297"/>
      <c r="Y37" s="2297"/>
      <c r="Z37" s="2297"/>
      <c r="AA37" s="2298"/>
      <c r="AB37" s="2299" t="s">
        <v>421</v>
      </c>
      <c r="AC37" s="2296" t="s">
        <v>420</v>
      </c>
      <c r="AD37" s="2297"/>
      <c r="AE37" s="2297"/>
      <c r="AF37" s="2297"/>
      <c r="AG37" s="2297"/>
      <c r="AH37" s="2298"/>
      <c r="AI37" s="2299" t="s">
        <v>422</v>
      </c>
      <c r="AJ37" s="2302" t="s">
        <v>423</v>
      </c>
      <c r="AK37" s="2140"/>
      <c r="AQ37" s="1157">
        <v>14</v>
      </c>
    </row>
    <row customHeight="1" ht="35.699999999999996">
      <c r="Q38" s="378"/>
      <c r="R38" s="378"/>
      <c r="S38" s="2295"/>
      <c r="T38" s="2232"/>
      <c r="U38" s="1033"/>
      <c r="V38" s="1485" t="s">
        <v>482</v>
      </c>
      <c r="W38" s="2288" t="s">
        <v>426</v>
      </c>
      <c r="X38" s="2290"/>
      <c r="Y38" s="2288" t="s">
        <v>427</v>
      </c>
      <c r="Z38" s="2289"/>
      <c r="AA38" s="2290"/>
      <c r="AB38" s="2300"/>
      <c r="AC38" s="1485" t="s">
        <v>482</v>
      </c>
      <c r="AD38" s="2288" t="s">
        <v>426</v>
      </c>
      <c r="AE38" s="2290"/>
      <c r="AF38" s="2288" t="s">
        <v>427</v>
      </c>
      <c r="AG38" s="2289"/>
      <c r="AH38" s="2290"/>
      <c r="AI38" s="2300"/>
      <c r="AJ38" s="2303"/>
      <c r="AK38" s="2140"/>
      <c r="AQ38" s="1157">
        <v>34</v>
      </c>
    </row>
    <row customHeight="1" ht="90.3">
      <c r="A39" s="1372"/>
      <c r="B39" s="1372" t="s">
        <v>132</v>
      </c>
      <c r="C39" s="1372" t="s">
        <v>133</v>
      </c>
      <c r="D39" s="1372" t="s">
        <v>134</v>
      </c>
      <c r="E39" s="1366" t="s">
        <v>428</v>
      </c>
      <c r="F39" s="1366" t="s">
        <v>429</v>
      </c>
      <c r="G39" s="1366" t="s">
        <v>430</v>
      </c>
      <c r="H39" s="1366"/>
      <c r="I39" s="1366" t="s">
        <v>483</v>
      </c>
      <c r="J39" s="1366" t="s">
        <v>433</v>
      </c>
      <c r="K39" s="1366" t="s">
        <v>484</v>
      </c>
      <c r="L39" s="1366" t="s">
        <v>413</v>
      </c>
      <c r="Q39" s="378"/>
      <c r="R39" s="378"/>
      <c r="S39" s="2295"/>
      <c r="T39" s="2232"/>
      <c r="U39" s="304"/>
      <c r="V39" s="1485" t="s">
        <v>511</v>
      </c>
      <c r="W39" s="1224" t="s">
        <v>512</v>
      </c>
      <c r="X39" s="1224" t="s">
        <v>487</v>
      </c>
      <c r="Y39" s="1491" t="s">
        <v>437</v>
      </c>
      <c r="Z39" s="2291" t="s">
        <v>438</v>
      </c>
      <c r="AA39" s="2292"/>
      <c r="AB39" s="2301"/>
      <c r="AC39" s="1485" t="s">
        <v>511</v>
      </c>
      <c r="AD39" s="1224" t="s">
        <v>512</v>
      </c>
      <c r="AE39" s="1224" t="s">
        <v>487</v>
      </c>
      <c r="AF39" s="1491" t="s">
        <v>437</v>
      </c>
      <c r="AG39" s="2291" t="s">
        <v>438</v>
      </c>
      <c r="AH39" s="2292"/>
      <c r="AI39" s="2301"/>
      <c r="AJ39" s="2304"/>
      <c r="AK39" s="2140"/>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106</v>
      </c>
      <c r="T40" s="1257" t="s">
        <v>107</v>
      </c>
      <c r="U40" s="1247" t="str">
        <f>OFFSET(U40,0,-1)</f>
        <v>2</v>
      </c>
      <c r="V40" s="1484">
        <f>OFFSET(V40,0,-1)+1</f>
        <v>3</v>
      </c>
      <c r="W40" s="1484">
        <f>OFFSET(W40,0,-1)+1</f>
        <v>4</v>
      </c>
      <c r="X40" s="1484">
        <f>OFFSET(X40,0,-1)+1</f>
        <v>5</v>
      </c>
      <c r="Y40" s="1484">
        <f>OFFSET(Y40,0,-1)+1</f>
        <v>6</v>
      </c>
      <c r="Z40" s="2293">
        <f>OFFSET(Z40,0,-1)+1</f>
        <v>7</v>
      </c>
      <c r="AA40" s="2293"/>
      <c r="AB40" s="1484">
        <f>OFFSET(AB40,0,-2)+1</f>
        <v>8</v>
      </c>
      <c r="AC40" s="1484">
        <f>OFFSET(AC40,0,-1)+1</f>
        <v>9</v>
      </c>
      <c r="AD40" s="1484">
        <f>OFFSET(AD40,0,-1)+1</f>
        <v>10</v>
      </c>
      <c r="AE40" s="1484">
        <f>OFFSET(AE40,0,-1)+1</f>
        <v>11</v>
      </c>
      <c r="AF40" s="1484">
        <f>OFFSET(AF40,0,-1)+1</f>
        <v>12</v>
      </c>
      <c r="AG40" s="2293">
        <f>OFFSET(AG40,0,-1)+1</f>
        <v>13</v>
      </c>
      <c r="AH40" s="2293"/>
      <c r="AI40" s="1484">
        <f>OFFSET(AI40,0,-2)+1</f>
        <v>14</v>
      </c>
      <c r="AJ40" s="1247">
        <f>OFFSET(AJ40,0,-1)</f>
        <v>14</v>
      </c>
      <c r="AK40" s="1484">
        <f>OFFSET(AK40,0,-1)+1</f>
        <v>15</v>
      </c>
      <c r="AL40" s="513"/>
      <c r="AM40" s="513"/>
      <c r="AN40" s="513"/>
      <c r="AO40" s="513"/>
      <c r="AP40" s="513"/>
      <c r="AQ40" s="498">
        <v>0</v>
      </c>
    </row>
    <row customHeight="1" ht="24">
      <c r="A41" s="1365" t="s">
        <v>266</v>
      </c>
      <c r="B41" s="1365"/>
      <c r="C41" s="1365"/>
      <c r="D41" s="1365"/>
      <c r="E41" s="2277">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120</v>
      </c>
      <c r="U41" s="302"/>
      <c r="V41" s="2271"/>
      <c r="W41" s="2272"/>
      <c r="X41" s="2272"/>
      <c r="Y41" s="2272"/>
      <c r="Z41" s="2272"/>
      <c r="AA41" s="2272"/>
      <c r="AB41" s="2273"/>
      <c r="AC41" s="2271" t="str">
        <f>INDEX(PT_DIFFERENTIATION_NTAR,MATCH(A41,PT_DIFFERENTIATION_NTAR_ID,0))</f>
        <v/>
      </c>
      <c r="AD41" s="2272"/>
      <c r="AE41" s="2272"/>
      <c r="AF41" s="2272"/>
      <c r="AG41" s="2272"/>
      <c r="AH41" s="2272"/>
      <c r="AI41" s="2272"/>
      <c r="AJ41" s="2273"/>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266</v>
      </c>
      <c r="B42" s="1365" t="s">
        <v>267</v>
      </c>
      <c r="C42" s="1365"/>
      <c r="D42" s="1365"/>
      <c r="E42" s="2278"/>
      <c r="F42" s="2277">
        <v>1</v>
      </c>
      <c r="G42" s="1365"/>
      <c r="H42" s="1365"/>
      <c r="I42" s="1365"/>
      <c r="J42" s="1365"/>
      <c r="K42" s="1365"/>
      <c r="L42" s="1366"/>
      <c r="M42" s="1367"/>
      <c r="N42" s="1367"/>
      <c r="O42" s="1367"/>
      <c r="P42" s="1489"/>
      <c r="Q42" s="354"/>
      <c r="R42" s="355"/>
      <c r="S42" s="1495" t="str">
        <f>INDEX(PT_DIFFERENTIATION_NUM_TER,MATCH(B42,PT_DIFFERENTIATION_TER_ID,0))</f>
        <v>.</v>
      </c>
      <c r="T42" s="310" t="s">
        <v>392</v>
      </c>
      <c r="U42" s="302"/>
      <c r="V42" s="2271"/>
      <c r="W42" s="2272"/>
      <c r="X42" s="2272"/>
      <c r="Y42" s="2272"/>
      <c r="Z42" s="2272"/>
      <c r="AA42" s="2272"/>
      <c r="AB42" s="2273"/>
      <c r="AC42" s="2271" t="str">
        <f>INDEX(PT_DIFFERENTIATION_TER,MATCH(B42,PT_DIFFERENTIATION_TER_ID,0))</f>
        <v/>
      </c>
      <c r="AD42" s="2272"/>
      <c r="AE42" s="2272"/>
      <c r="AF42" s="2272"/>
      <c r="AG42" s="2272"/>
      <c r="AH42" s="2272"/>
      <c r="AI42" s="2272"/>
      <c r="AJ42" s="2273"/>
      <c r="AK42" s="1260" t="s">
        <v>393</v>
      </c>
      <c r="AM42" s="502"/>
      <c r="AN42" s="502" t="str">
        <f>IF(T42="","",T42)</f>
        <v>Территория действия тарифа</v>
      </c>
      <c r="AO42" s="502"/>
      <c r="AP42" s="502"/>
      <c r="AQ42" s="1157">
        <v>23</v>
      </c>
    </row>
    <row customHeight="1" ht="24">
      <c r="A43" s="1365" t="s">
        <v>266</v>
      </c>
      <c r="B43" s="1365" t="s">
        <v>267</v>
      </c>
      <c r="C43" s="1365" t="s">
        <v>268</v>
      </c>
      <c r="D43" s="1365"/>
      <c r="E43" s="2278"/>
      <c r="F43" s="2278"/>
      <c r="G43" s="2277">
        <v>1</v>
      </c>
      <c r="H43" s="1365"/>
      <c r="I43" s="1365"/>
      <c r="J43" s="1365"/>
      <c r="K43" s="1365"/>
      <c r="L43" s="1366"/>
      <c r="M43" s="1367"/>
      <c r="N43" s="1367"/>
      <c r="O43" s="1367"/>
      <c r="P43" s="356"/>
      <c r="Q43" s="354"/>
      <c r="R43" s="355"/>
      <c r="S43" s="1495" t="str">
        <f>INDEX(PT_DIFFERENTIATION_NUM_CS,MATCH(C43,PT_DIFFERENTIATION_CS_ID,0))</f>
        <v>..</v>
      </c>
      <c r="T43" s="311" t="s">
        <v>509</v>
      </c>
      <c r="U43" s="302"/>
      <c r="V43" s="2271"/>
      <c r="W43" s="2272"/>
      <c r="X43" s="2272"/>
      <c r="Y43" s="2272"/>
      <c r="Z43" s="2272"/>
      <c r="AA43" s="2272"/>
      <c r="AB43" s="2273"/>
      <c r="AC43" s="2271" t="str">
        <f>INDEX(PT_DIFFERENTIATION_CS,MATCH(C43,PT_DIFFERENTIATION_CS_ID,0))</f>
        <v/>
      </c>
      <c r="AD43" s="2272"/>
      <c r="AE43" s="2272"/>
      <c r="AF43" s="2272"/>
      <c r="AG43" s="2272"/>
      <c r="AH43" s="2272"/>
      <c r="AI43" s="2272"/>
      <c r="AJ43" s="2273"/>
      <c r="AK43" s="1260" t="s">
        <v>510</v>
      </c>
      <c r="AM43" s="502"/>
      <c r="AN43" s="502" t="str">
        <f>IF(T43="","",T43)</f>
        <v>Наименование централизованной системы водоотведения</v>
      </c>
      <c r="AO43" s="502"/>
      <c r="AP43" s="502"/>
      <c r="AQ43" s="1157">
        <v>23</v>
      </c>
    </row>
    <row customHeight="1" ht="24">
      <c r="A44" s="1365" t="s">
        <v>266</v>
      </c>
      <c r="B44" s="1365" t="s">
        <v>267</v>
      </c>
      <c r="C44" s="1365" t="s">
        <v>268</v>
      </c>
      <c r="D44" s="1365" t="s">
        <v>514</v>
      </c>
      <c r="E44" s="2278"/>
      <c r="F44" s="2278"/>
      <c r="G44" s="2278"/>
      <c r="H44" s="2278"/>
      <c r="I44" s="2279" t="str">
        <f>S43&amp;".1"</f>
        <v>...1</v>
      </c>
      <c r="J44" s="1365"/>
      <c r="K44" s="1365"/>
      <c r="L44" s="1366"/>
      <c r="P44" s="2281">
        <v>1</v>
      </c>
      <c r="Q44" s="1483"/>
      <c r="R44" s="358"/>
      <c r="S44" s="1495" t="str">
        <f>$I44</f>
        <v>...1</v>
      </c>
      <c r="T44" s="287" t="s">
        <v>476</v>
      </c>
      <c r="U44" s="302"/>
      <c r="V44" s="2375"/>
      <c r="W44" s="2376"/>
      <c r="X44" s="2376"/>
      <c r="Y44" s="2376"/>
      <c r="Z44" s="2376"/>
      <c r="AA44" s="2376"/>
      <c r="AB44" s="2377"/>
      <c r="AC44" s="2378"/>
      <c r="AD44" s="2379"/>
      <c r="AE44" s="2379"/>
      <c r="AF44" s="2379"/>
      <c r="AG44" s="2379"/>
      <c r="AH44" s="2379"/>
      <c r="AI44" s="2379"/>
      <c r="AJ44" s="2380"/>
      <c r="AK44" s="1260" t="s">
        <v>477</v>
      </c>
      <c r="AM44" s="502"/>
      <c r="AN44" s="502" t="str">
        <f>IF(T44="","",T44)</f>
        <v>Наименование признака дифференциации</v>
      </c>
      <c r="AO44" s="502"/>
      <c r="AP44" s="502"/>
      <c r="AQ44" s="1157">
        <v>23</v>
      </c>
    </row>
    <row customHeight="1" ht="24">
      <c r="A45" s="1365" t="s">
        <v>266</v>
      </c>
      <c r="B45" s="1365" t="s">
        <v>267</v>
      </c>
      <c r="C45" s="1365" t="s">
        <v>268</v>
      </c>
      <c r="D45" s="1365" t="s">
        <v>514</v>
      </c>
      <c r="E45" s="2278"/>
      <c r="F45" s="2278"/>
      <c r="G45" s="2278"/>
      <c r="H45" s="2278"/>
      <c r="I45" s="2280"/>
      <c r="J45" s="2279" t="str">
        <f>I44&amp;".1"</f>
        <v>...1.1</v>
      </c>
      <c r="K45" s="1365"/>
      <c r="L45" s="1366" t="s">
        <v>401</v>
      </c>
      <c r="P45" s="2281"/>
      <c r="Q45" s="2281">
        <v>1</v>
      </c>
      <c r="R45" s="359"/>
      <c r="S45" s="1495" t="str">
        <f>$J45</f>
        <v>...1.1</v>
      </c>
      <c r="T45" s="288" t="s">
        <v>402</v>
      </c>
      <c r="U45" s="302"/>
      <c r="V45" s="2265"/>
      <c r="W45" s="2266"/>
      <c r="X45" s="2266"/>
      <c r="Y45" s="2266"/>
      <c r="Z45" s="2266"/>
      <c r="AA45" s="2266"/>
      <c r="AB45" s="2267"/>
      <c r="AC45" s="2265"/>
      <c r="AD45" s="2266"/>
      <c r="AE45" s="2266"/>
      <c r="AF45" s="2266"/>
      <c r="AG45" s="2266"/>
      <c r="AH45" s="2266"/>
      <c r="AI45" s="2266"/>
      <c r="AJ45" s="2267"/>
      <c r="AK45" s="1309" t="s">
        <v>478</v>
      </c>
      <c r="AM45" s="502"/>
      <c r="AN45" s="502" t="str">
        <f>IF(T45="","",T45)</f>
        <v>Группа потребителей</v>
      </c>
      <c r="AO45" s="502"/>
      <c r="AP45" s="502"/>
      <c r="AQ45" s="1157">
        <v>23</v>
      </c>
    </row>
    <row customHeight="1" ht="24">
      <c r="A46" s="1365" t="s">
        <v>266</v>
      </c>
      <c r="B46" s="1365" t="s">
        <v>267</v>
      </c>
      <c r="C46" s="1365" t="s">
        <v>268</v>
      </c>
      <c r="D46" s="1365" t="s">
        <v>514</v>
      </c>
      <c r="E46" s="2278"/>
      <c r="F46" s="2278"/>
      <c r="G46" s="2278"/>
      <c r="H46" s="2278"/>
      <c r="I46" s="2280"/>
      <c r="J46" s="2280"/>
      <c r="K46" s="2279" t="str">
        <f>J45&amp;".1"</f>
        <v>...1.1.1</v>
      </c>
      <c r="L46" s="1366"/>
      <c r="P46" s="2281"/>
      <c r="Q46" s="2281"/>
      <c r="R46" s="359">
        <v>1</v>
      </c>
      <c r="S46" s="1495" t="str">
        <f>$K46</f>
        <v>...1.1.1</v>
      </c>
      <c r="T46" s="1439"/>
      <c r="U46" s="302"/>
      <c r="V46" s="1362"/>
      <c r="W46" s="1362"/>
      <c r="X46" s="1363"/>
      <c r="Y46" s="2275"/>
      <c r="Z46" s="2274" t="s">
        <v>65</v>
      </c>
      <c r="AA46" s="2275"/>
      <c r="AB46" s="2274" t="s">
        <v>65</v>
      </c>
      <c r="AC46" s="753"/>
      <c r="AD46" s="753"/>
      <c r="AE46" s="1259"/>
      <c r="AF46" s="2282"/>
      <c r="AG46" s="2150" t="s">
        <v>65</v>
      </c>
      <c r="AH46" s="2284"/>
      <c r="AI46" s="2150" t="s">
        <v>19</v>
      </c>
      <c r="AJ46" s="1440"/>
      <c r="AK46"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266</v>
      </c>
      <c r="B47" s="1365" t="s">
        <v>267</v>
      </c>
      <c r="C47" s="1365" t="s">
        <v>268</v>
      </c>
      <c r="D47" s="1365" t="s">
        <v>514</v>
      </c>
      <c r="E47" s="2278"/>
      <c r="F47" s="2278"/>
      <c r="G47" s="2278"/>
      <c r="H47" s="2278"/>
      <c r="I47" s="2280"/>
      <c r="J47" s="2280"/>
      <c r="K47" s="2279"/>
      <c r="L47" s="1366"/>
      <c r="P47" s="2281"/>
      <c r="Q47" s="2281"/>
      <c r="R47" s="359"/>
      <c r="S47" s="1492"/>
      <c r="T47" s="302"/>
      <c r="U47" s="302"/>
      <c r="V47" s="1362"/>
      <c r="W47" s="1362"/>
      <c r="X47" s="330" t="str">
        <f>Y46&amp;"-"&amp;AA46</f>
        <v>-</v>
      </c>
      <c r="Y47" s="2274"/>
      <c r="Z47" s="2274"/>
      <c r="AA47" s="2274"/>
      <c r="AB47" s="2274"/>
      <c r="AC47" s="327"/>
      <c r="AD47" s="327"/>
      <c r="AE47" s="330" t="str">
        <f>AF46&amp;"-"&amp;AH46</f>
        <v>-</v>
      </c>
      <c r="AF47" s="2283"/>
      <c r="AG47" s="2150"/>
      <c r="AH47" s="2285"/>
      <c r="AI47" s="2150"/>
      <c r="AJ47" s="1441"/>
      <c r="AK47" s="2381"/>
      <c r="AM47" s="502"/>
      <c r="AN47" s="502" t="str">
        <f>IF(T47="","",T47)</f>
        <v/>
      </c>
      <c r="AO47" s="502"/>
      <c r="AP47" s="502"/>
      <c r="AQ47" s="1157">
        <v>0</v>
      </c>
    </row>
    <row customHeight="1" ht="21">
      <c r="A48" s="1365" t="s">
        <v>266</v>
      </c>
      <c r="B48" s="1365" t="s">
        <v>267</v>
      </c>
      <c r="C48" s="1365" t="s">
        <v>268</v>
      </c>
      <c r="D48" s="1365" t="s">
        <v>514</v>
      </c>
      <c r="E48" s="2278"/>
      <c r="F48" s="2278"/>
      <c r="G48" s="2278"/>
      <c r="H48" s="2278"/>
      <c r="I48" s="2280"/>
      <c r="J48" s="2279"/>
      <c r="K48" s="1365"/>
      <c r="L48" s="1366"/>
      <c r="P48" s="2281"/>
      <c r="Q48" s="2281"/>
      <c r="R48" s="358"/>
      <c r="S48" s="1280"/>
      <c r="T48" s="289" t="s">
        <v>479</v>
      </c>
      <c r="U48" s="369"/>
      <c r="V48" s="369"/>
      <c r="W48" s="369"/>
      <c r="X48" s="369"/>
      <c r="Y48" s="369"/>
      <c r="Z48" s="369"/>
      <c r="AA48" s="369"/>
      <c r="AB48" s="369"/>
      <c r="AC48" s="369"/>
      <c r="AD48" s="369"/>
      <c r="AE48" s="369"/>
      <c r="AF48" s="369"/>
      <c r="AG48" s="369"/>
      <c r="AH48" s="369"/>
      <c r="AI48" s="369"/>
      <c r="AJ48" s="369"/>
      <c r="AK48" s="1260" t="s">
        <v>480</v>
      </c>
      <c r="AM48" s="502"/>
      <c r="AN48" s="502" t="str">
        <f>IF(T48="","",T48)</f>
        <v>Добавить значение признака дифференциации</v>
      </c>
      <c r="AO48" s="502"/>
      <c r="AP48" s="502"/>
      <c r="AQ48" s="1157">
        <v>20</v>
      </c>
    </row>
    <row customHeight="1" ht="22.049999999999997">
      <c r="A49" s="1365" t="s">
        <v>266</v>
      </c>
      <c r="B49" s="1365" t="s">
        <v>267</v>
      </c>
      <c r="C49" s="1365" t="s">
        <v>268</v>
      </c>
      <c r="D49" s="1365" t="s">
        <v>514</v>
      </c>
      <c r="E49" s="2278"/>
      <c r="F49" s="2278"/>
      <c r="G49" s="2278"/>
      <c r="H49" s="2278"/>
      <c r="I49" s="2279"/>
      <c r="J49" s="1365"/>
      <c r="K49" s="1365"/>
      <c r="L49" s="1366"/>
      <c r="P49" s="2281"/>
      <c r="Q49" s="1483"/>
      <c r="R49" s="358"/>
      <c r="S49" s="1280"/>
      <c r="T49" s="367" t="s">
        <v>407</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266</v>
      </c>
      <c r="B50" s="1365" t="s">
        <v>267</v>
      </c>
      <c r="C50" s="1365" t="s">
        <v>268</v>
      </c>
      <c r="D50" s="1365" t="s">
        <v>514</v>
      </c>
      <c r="E50" s="2278"/>
      <c r="F50" s="2278"/>
      <c r="G50" s="2278"/>
      <c r="H50" s="2277"/>
      <c r="I50" s="1365"/>
      <c r="J50" s="1365"/>
      <c r="K50" s="1365"/>
      <c r="L50" s="1366"/>
      <c r="M50" s="1367"/>
      <c r="N50" s="1367"/>
      <c r="O50" s="539"/>
      <c r="P50" s="362"/>
      <c r="Q50" s="377"/>
      <c r="R50" s="357"/>
      <c r="S50" s="1280"/>
      <c r="T50" s="374" t="s">
        <v>481</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266</v>
      </c>
      <c r="B51" s="1345" t="s">
        <v>267</v>
      </c>
      <c r="C51" s="1316"/>
      <c r="D51" s="1316"/>
      <c r="E51" s="2278"/>
      <c r="F51" s="2277"/>
      <c r="G51" s="1316"/>
      <c r="H51" s="1316"/>
      <c r="I51" s="1316"/>
      <c r="J51" s="1316"/>
      <c r="K51" s="1316"/>
      <c r="L51" s="1496"/>
      <c r="M51" s="1323"/>
      <c r="N51" s="1323"/>
      <c r="P51" s="1318"/>
      <c r="Q51" s="1319"/>
      <c r="R51" s="1318"/>
      <c r="S51" s="1324"/>
      <c r="T51" s="1327" t="s">
        <v>410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266</v>
      </c>
      <c r="B52" s="1345"/>
      <c r="C52" s="1345"/>
      <c r="D52" s="1345"/>
      <c r="E52" s="2277"/>
      <c r="F52" s="1345"/>
      <c r="G52" s="1345"/>
      <c r="H52" s="1345"/>
      <c r="I52" s="1345"/>
      <c r="J52" s="1345"/>
      <c r="K52" s="1345"/>
      <c r="L52" s="1348"/>
      <c r="M52" s="1323"/>
      <c r="N52" s="1323"/>
      <c r="O52" s="520"/>
      <c r="P52" s="382"/>
      <c r="Q52" s="1346"/>
      <c r="R52" s="382"/>
      <c r="S52" s="1324"/>
      <c r="T52" s="1327" t="s">
        <v>411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439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76"/>
      <c r="U55" s="2276"/>
      <c r="V55" s="2276"/>
      <c r="W55" s="2276"/>
      <c r="X55" s="2276"/>
      <c r="Y55" s="2276"/>
      <c r="Z55" s="2276"/>
      <c r="AA55" s="2276"/>
      <c r="AB55" s="2276"/>
      <c r="AC55" s="2276"/>
      <c r="AD55" s="2276"/>
      <c r="AE55" s="2276"/>
      <c r="AF55" s="2276"/>
      <c r="AG55" s="2276"/>
      <c r="AH55" s="2276"/>
      <c r="AI55" s="2276"/>
      <c r="AJ55" s="2276"/>
      <c r="AK55" s="2276"/>
      <c r="AQ55" s="1157">
        <v>14</v>
      </c>
    </row>
    <row customHeight="1" ht="14.699999999999998">
      <c r="O56" s="539"/>
      <c r="AQ56" s="1157">
        <v>14</v>
      </c>
    </row>
    <row customHeight="1" ht="14.699999999999998">
      <c r="O57" s="539"/>
      <c r="S57" s="1255"/>
      <c r="T57" s="2276"/>
      <c r="U57" s="2276"/>
      <c r="V57" s="2276"/>
      <c r="W57" s="2276"/>
      <c r="X57" s="2276"/>
      <c r="Y57" s="2276"/>
      <c r="Z57" s="2276"/>
      <c r="AA57" s="2276"/>
      <c r="AB57" s="2276"/>
      <c r="AC57" s="2276"/>
      <c r="AD57" s="2276"/>
      <c r="AE57" s="2276"/>
      <c r="AF57" s="2276"/>
      <c r="AG57" s="2276"/>
      <c r="AH57" s="2276"/>
      <c r="AI57" s="2276"/>
      <c r="AJ57" s="2276"/>
      <c r="AK57" s="2276"/>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0DCDFA-F472-2222-BEDD-9D3D797B0A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1777" width="3.7109375" hidden="1" customWidth="1"/>
    <col min="17" max="17" style="1373" width="3.7109375" hidden="1" customWidth="1"/>
    <col min="18" max="18" style="346" width="3.00390625" customWidth="1"/>
    <col min="19" max="19" style="2433"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77">
        <v>1</v>
      </c>
      <c r="F2" s="1365"/>
      <c r="G2" s="1365"/>
      <c r="H2" s="1365"/>
      <c r="I2" s="1365"/>
      <c r="J2" s="1365"/>
      <c r="K2" s="1365"/>
      <c r="L2" s="1366"/>
      <c r="M2" s="1367"/>
      <c r="N2" s="1367"/>
      <c r="O2" s="1367"/>
      <c r="P2" s="1411"/>
      <c r="Q2" s="875"/>
      <c r="R2" s="357"/>
      <c r="S2" s="1495">
        <f>INDEX(PT_DIFFERENTIATION_NUM_NTAR,MATCH(A2,PT_DIFFERENTIATION_NTAR_ID,0))</f>
      </c>
      <c r="T2" s="300" t="s">
        <v>120</v>
      </c>
      <c r="U2" s="302"/>
      <c r="V2" s="2272"/>
      <c r="W2" s="2272"/>
      <c r="X2" s="2272"/>
      <c r="Y2" s="2272"/>
      <c r="Z2" s="2272"/>
      <c r="AA2" s="2272"/>
      <c r="AB2" s="2272"/>
      <c r="AC2" s="2273"/>
      <c r="AD2" s="2271">
        <f>INDEX(PT_DIFFERENTIATION_NTAR,MATCH(A2,PT_DIFFERENTIATION_NTAR_ID,0))</f>
      </c>
      <c r="AE2" s="2272"/>
      <c r="AF2" s="2272"/>
      <c r="AG2" s="2272"/>
      <c r="AH2" s="2272"/>
      <c r="AI2" s="2272"/>
      <c r="AJ2" s="2272"/>
      <c r="AK2" s="2272"/>
      <c r="AL2" s="2272"/>
      <c r="AM2" s="2272"/>
      <c r="AN2" s="2272"/>
      <c r="AO2" s="2272"/>
      <c r="AP2" s="2272"/>
      <c r="AQ2" s="2272"/>
      <c r="AR2" s="2272"/>
      <c r="AS2" s="2272"/>
      <c r="AT2" s="2272"/>
      <c r="AU2" s="2272"/>
      <c r="AV2" s="2272"/>
      <c r="AW2" s="2272"/>
      <c r="AX2" s="2272"/>
      <c r="AY2" s="2272"/>
      <c r="AZ2" s="2272"/>
      <c r="BA2" s="2272"/>
      <c r="BB2" s="2273"/>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78"/>
      <c r="F3" s="2277">
        <v>1</v>
      </c>
      <c r="G3" s="1365"/>
      <c r="H3" s="1365"/>
      <c r="I3" s="1365"/>
      <c r="J3" s="1365"/>
      <c r="K3" s="1365"/>
      <c r="L3" s="1366"/>
      <c r="M3" s="1367"/>
      <c r="N3" s="1367"/>
      <c r="O3" s="1367"/>
      <c r="P3" s="1412"/>
      <c r="Q3" s="1413"/>
      <c r="R3" s="355"/>
      <c r="S3" s="1495">
        <f>INDEX(PT_DIFFERENTIATION_NUM_TER,MATCH(B3,PT_DIFFERENTIATION_TER_ID,0))</f>
      </c>
      <c r="T3" s="310" t="s">
        <v>392</v>
      </c>
      <c r="U3" s="302"/>
      <c r="V3" s="2272"/>
      <c r="W3" s="2272"/>
      <c r="X3" s="2272"/>
      <c r="Y3" s="2272"/>
      <c r="Z3" s="2272"/>
      <c r="AA3" s="2272"/>
      <c r="AB3" s="2272"/>
      <c r="AC3" s="2273"/>
      <c r="AD3" s="2271">
        <f>INDEX(PT_DIFFERENTIATION_TER,MATCH(B3,PT_DIFFERENTIATION_TER_ID,0))</f>
      </c>
      <c r="AE3" s="2272"/>
      <c r="AF3" s="2272"/>
      <c r="AG3" s="2272"/>
      <c r="AH3" s="2272"/>
      <c r="AI3" s="2272"/>
      <c r="AJ3" s="2272"/>
      <c r="AK3" s="2272"/>
      <c r="AL3" s="2272"/>
      <c r="AM3" s="2272"/>
      <c r="AN3" s="2272"/>
      <c r="AO3" s="2272"/>
      <c r="AP3" s="2272"/>
      <c r="AQ3" s="2272"/>
      <c r="AR3" s="2272"/>
      <c r="AS3" s="2272"/>
      <c r="AT3" s="2272"/>
      <c r="AU3" s="2272"/>
      <c r="AV3" s="2272"/>
      <c r="AW3" s="2272"/>
      <c r="AX3" s="2272"/>
      <c r="AY3" s="2272"/>
      <c r="AZ3" s="2272"/>
      <c r="BA3" s="2272"/>
      <c r="BB3" s="2273"/>
      <c r="BC3" s="1260" t="s">
        <v>393</v>
      </c>
      <c r="BE3" s="502"/>
      <c r="BF3" s="502" t="str">
        <f>IF(T3="","",T3)</f>
        <v>Территория действия тарифа</v>
      </c>
      <c r="BG3" s="502"/>
      <c r="BH3" s="502"/>
      <c r="BI3" s="1157">
        <v>0</v>
      </c>
    </row>
    <row customHeight="1" ht="33.75" hidden="1">
      <c r="A4" s="1365"/>
      <c r="B4" s="1365"/>
      <c r="C4" s="1365"/>
      <c r="D4" s="1365"/>
      <c r="E4" s="2278"/>
      <c r="F4" s="2278"/>
      <c r="G4" s="2277">
        <v>1</v>
      </c>
      <c r="H4" s="1365"/>
      <c r="I4" s="1365"/>
      <c r="J4" s="1365"/>
      <c r="K4" s="1365"/>
      <c r="L4" s="1366"/>
      <c r="M4" s="1367"/>
      <c r="N4" s="1367"/>
      <c r="O4" s="1367"/>
      <c r="P4" s="1414"/>
      <c r="Q4" s="1413"/>
      <c r="R4" s="355"/>
      <c r="S4" s="1495">
        <f>INDEX(PT_DIFFERENTIATION_NUM_CS,MATCH(C4,PT_DIFFERENTIATION_CS_ID,0))</f>
      </c>
      <c r="T4" s="311" t="s">
        <v>509</v>
      </c>
      <c r="U4" s="302"/>
      <c r="V4" s="2272"/>
      <c r="W4" s="2272"/>
      <c r="X4" s="2272"/>
      <c r="Y4" s="2272"/>
      <c r="Z4" s="2272"/>
      <c r="AA4" s="2272"/>
      <c r="AB4" s="2272"/>
      <c r="AC4" s="2273"/>
      <c r="AD4" s="2271">
        <f>INDEX(PT_DIFFERENTIATION_CS,MATCH(C4,PT_DIFFERENTIATION_CS_ID,0))</f>
      </c>
      <c r="AE4" s="2272"/>
      <c r="AF4" s="2272"/>
      <c r="AG4" s="2272"/>
      <c r="AH4" s="2272"/>
      <c r="AI4" s="2272"/>
      <c r="AJ4" s="2272"/>
      <c r="AK4" s="2272"/>
      <c r="AL4" s="2272"/>
      <c r="AM4" s="2272"/>
      <c r="AN4" s="2272"/>
      <c r="AO4" s="2272"/>
      <c r="AP4" s="2272"/>
      <c r="AQ4" s="2272"/>
      <c r="AR4" s="2272"/>
      <c r="AS4" s="2272"/>
      <c r="AT4" s="2272"/>
      <c r="AU4" s="2272"/>
      <c r="AV4" s="2272"/>
      <c r="AW4" s="2272"/>
      <c r="AX4" s="2272"/>
      <c r="AY4" s="2272"/>
      <c r="AZ4" s="2272"/>
      <c r="BA4" s="2272"/>
      <c r="BB4" s="2273"/>
      <c r="BC4" s="1260" t="s">
        <v>510</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78"/>
      <c r="F5" s="2278"/>
      <c r="G5" s="2278"/>
      <c r="H5" s="2277">
        <v>1</v>
      </c>
      <c r="I5" s="1345"/>
      <c r="J5" s="1345"/>
      <c r="K5" s="1345"/>
      <c r="L5" s="1348"/>
      <c r="M5" s="1317"/>
      <c r="N5" s="1317"/>
      <c r="O5" s="1317"/>
      <c r="P5" s="1499"/>
      <c r="Q5" s="1500"/>
      <c r="R5" s="359"/>
      <c r="S5" s="1044"/>
      <c r="T5" s="1501"/>
      <c r="U5" s="1386"/>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387" t="s">
        <v>397</v>
      </c>
      <c r="BE5" s="502"/>
      <c r="BF5" s="502" t="str">
        <f>IF(T5="","",T5)</f>
        <v/>
      </c>
      <c r="BG5" s="502"/>
      <c r="BH5" s="502"/>
      <c r="BI5" s="513">
        <v>0</v>
      </c>
    </row>
    <row s="1644" customFormat="1" customHeight="1" ht="14.25" hidden="1">
      <c r="A6" s="1345"/>
      <c r="B6" s="1345"/>
      <c r="C6" s="1345"/>
      <c r="D6" s="1345"/>
      <c r="E6" s="2278"/>
      <c r="F6" s="2278"/>
      <c r="G6" s="2278"/>
      <c r="H6" s="2278"/>
      <c r="I6" s="2279" t="str">
        <f>S5&amp;".1"</f>
        <v>.1</v>
      </c>
      <c r="J6" s="1345"/>
      <c r="K6" s="1345"/>
      <c r="L6" s="1348" t="s">
        <v>398</v>
      </c>
      <c r="M6" s="512"/>
      <c r="N6" s="512"/>
      <c r="O6" s="512"/>
      <c r="P6" s="2281">
        <v>1</v>
      </c>
      <c r="Q6" s="1483"/>
      <c r="R6" s="358"/>
      <c r="S6" s="1044"/>
      <c r="T6" s="1385"/>
      <c r="U6" s="1386"/>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387"/>
      <c r="BE6" s="502"/>
      <c r="BF6" s="502" t="str">
        <f>IF(T6="","",T6)</f>
        <v/>
      </c>
      <c r="BG6" s="502"/>
      <c r="BH6" s="502"/>
      <c r="BI6" s="513">
        <v>0</v>
      </c>
    </row>
    <row s="1644" customFormat="1" customHeight="1" ht="14.25" hidden="1">
      <c r="A7" s="1345"/>
      <c r="B7" s="1345"/>
      <c r="C7" s="1345"/>
      <c r="D7" s="1345"/>
      <c r="E7" s="2278"/>
      <c r="F7" s="2278"/>
      <c r="G7" s="2278"/>
      <c r="H7" s="2278"/>
      <c r="I7" s="2280"/>
      <c r="J7" s="2279" t="str">
        <f>S5&amp;".1"</f>
        <v>.1</v>
      </c>
      <c r="K7" s="1345"/>
      <c r="L7" s="1348"/>
      <c r="M7" s="512"/>
      <c r="N7" s="512"/>
      <c r="O7" s="512"/>
      <c r="P7" s="2281"/>
      <c r="Q7" s="2281">
        <v>1</v>
      </c>
      <c r="R7" s="359"/>
      <c r="S7" s="1044"/>
      <c r="T7" s="1401"/>
      <c r="U7" s="1386"/>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387"/>
      <c r="BE7" s="502"/>
      <c r="BF7" s="502" t="str">
        <f>IF(T7="","",T7)</f>
        <v/>
      </c>
      <c r="BG7" s="502"/>
      <c r="BH7" s="502"/>
      <c r="BI7" s="513">
        <v>0</v>
      </c>
    </row>
    <row customHeight="1" ht="11.25" hidden="1">
      <c r="A8" s="1365"/>
      <c r="B8" s="1365"/>
      <c r="C8" s="1365"/>
      <c r="D8" s="1365"/>
      <c r="E8" s="2278"/>
      <c r="F8" s="2278"/>
      <c r="G8" s="2278"/>
      <c r="H8" s="2278"/>
      <c r="I8" s="2280"/>
      <c r="J8" s="2280"/>
      <c r="K8" s="2279">
        <f>S4&amp;".1"</f>
      </c>
      <c r="L8" s="1366"/>
      <c r="P8" s="2281"/>
      <c r="Q8" s="2281"/>
      <c r="R8" s="2364">
        <v>1</v>
      </c>
      <c r="S8" s="2361">
        <f>$K8</f>
      </c>
      <c r="T8" s="2383"/>
      <c r="U8" s="302"/>
      <c r="V8" s="753"/>
      <c r="W8" s="1259"/>
      <c r="X8" s="753"/>
      <c r="Y8" s="1259"/>
      <c r="Z8" s="1735"/>
      <c r="AA8" s="1471" t="s">
        <v>65</v>
      </c>
      <c r="AB8" s="1735"/>
      <c r="AC8" s="1471" t="s">
        <v>65</v>
      </c>
      <c r="AD8" s="2215" t="s">
        <v>65</v>
      </c>
      <c r="AE8" s="2357"/>
      <c r="AF8" s="2228">
        <v>1</v>
      </c>
      <c r="AG8" s="2382"/>
      <c r="AH8" s="2150" t="s">
        <v>65</v>
      </c>
      <c r="AI8" s="2357"/>
      <c r="AJ8" s="2228">
        <v>1</v>
      </c>
      <c r="AK8" s="2371" t="s">
        <v>22</v>
      </c>
      <c r="AL8" s="2150" t="s">
        <v>65</v>
      </c>
      <c r="AM8" s="2200"/>
      <c r="AN8" s="2228">
        <v>1</v>
      </c>
      <c r="AO8" s="2386"/>
      <c r="AP8" s="2387" t="s">
        <v>65</v>
      </c>
      <c r="AQ8" s="313"/>
      <c r="AR8" s="1488">
        <v>1</v>
      </c>
      <c r="AS8" s="1494" t="s">
        <v>22</v>
      </c>
      <c r="AT8" s="753"/>
      <c r="AU8" s="1259"/>
      <c r="AV8" s="753"/>
      <c r="AW8" s="1259"/>
      <c r="AX8" s="1735"/>
      <c r="AY8" s="1471" t="s">
        <v>65</v>
      </c>
      <c r="AZ8" s="1735"/>
      <c r="BA8" s="1471" t="s">
        <v>65</v>
      </c>
      <c r="BB8" s="1350"/>
      <c r="BC8" s="2307" t="s">
        <v>492</v>
      </c>
      <c r="BE8" s="502"/>
      <c r="BF8" s="502" t="str">
        <f>IF(T8="","",T8)</f>
        <v/>
      </c>
      <c r="BG8" s="502"/>
      <c r="BH8" s="502"/>
      <c r="BI8" s="1157">
        <v>0</v>
      </c>
    </row>
    <row customHeight="1" ht="11.25" hidden="1">
      <c r="A9" s="1365"/>
      <c r="B9" s="1365"/>
      <c r="C9" s="1365"/>
      <c r="D9" s="1365"/>
      <c r="E9" s="2278"/>
      <c r="F9" s="2278"/>
      <c r="G9" s="2278"/>
      <c r="H9" s="2278"/>
      <c r="I9" s="2280"/>
      <c r="J9" s="2280"/>
      <c r="K9" s="2279"/>
      <c r="L9" s="1366"/>
      <c r="P9" s="2281"/>
      <c r="Q9" s="2281"/>
      <c r="R9" s="2364"/>
      <c r="S9" s="2362"/>
      <c r="T9" s="2384"/>
      <c r="U9" s="302"/>
      <c r="V9" s="1395"/>
      <c r="W9" s="1498"/>
      <c r="X9" s="1395"/>
      <c r="Y9" s="1498"/>
      <c r="Z9" s="1395"/>
      <c r="AA9" s="1395"/>
      <c r="AB9" s="1395"/>
      <c r="AC9" s="1395"/>
      <c r="AD9" s="2216"/>
      <c r="AE9" s="2357"/>
      <c r="AF9" s="2228"/>
      <c r="AG9" s="2382"/>
      <c r="AH9" s="2150"/>
      <c r="AI9" s="2357"/>
      <c r="AJ9" s="2228"/>
      <c r="AK9" s="2371"/>
      <c r="AL9" s="2150"/>
      <c r="AM9" s="2208"/>
      <c r="AN9" s="2228"/>
      <c r="AO9" s="2386"/>
      <c r="AP9" s="2388"/>
      <c r="AQ9" s="318"/>
      <c r="AR9" s="418"/>
      <c r="AS9" s="418" t="s">
        <v>493</v>
      </c>
      <c r="AT9" s="1395"/>
      <c r="AU9" s="1498"/>
      <c r="AV9" s="1395"/>
      <c r="AW9" s="1498"/>
      <c r="AX9" s="1395"/>
      <c r="AY9" s="1395"/>
      <c r="AZ9" s="1395"/>
      <c r="BA9" s="1395"/>
      <c r="BB9" s="1399"/>
      <c r="BC9" s="2308"/>
      <c r="BE9" s="502"/>
      <c r="BF9" s="502"/>
      <c r="BG9" s="502"/>
      <c r="BH9" s="502"/>
      <c r="BI9" s="1157">
        <v>0</v>
      </c>
    </row>
    <row customHeight="1" ht="11.25" hidden="1">
      <c r="A10" s="1365"/>
      <c r="B10" s="1365"/>
      <c r="C10" s="1365"/>
      <c r="D10" s="1365"/>
      <c r="E10" s="2278"/>
      <c r="F10" s="2278"/>
      <c r="G10" s="2278"/>
      <c r="H10" s="2278"/>
      <c r="I10" s="2280"/>
      <c r="J10" s="2280"/>
      <c r="K10" s="2279"/>
      <c r="L10" s="1366"/>
      <c r="P10" s="2281"/>
      <c r="Q10" s="2281"/>
      <c r="R10" s="2364"/>
      <c r="S10" s="2362"/>
      <c r="T10" s="2384"/>
      <c r="U10" s="302"/>
      <c r="V10" s="1395"/>
      <c r="W10" s="1498"/>
      <c r="X10" s="1395"/>
      <c r="Y10" s="1498"/>
      <c r="Z10" s="1395"/>
      <c r="AA10" s="1395"/>
      <c r="AB10" s="1395"/>
      <c r="AC10" s="1395"/>
      <c r="AD10" s="2216"/>
      <c r="AE10" s="2357"/>
      <c r="AF10" s="2228"/>
      <c r="AG10" s="2382"/>
      <c r="AH10" s="2150"/>
      <c r="AI10" s="2357"/>
      <c r="AJ10" s="2228"/>
      <c r="AK10" s="2371"/>
      <c r="AL10" s="2150"/>
      <c r="AM10" s="318"/>
      <c r="AN10" s="1502"/>
      <c r="AO10" s="1502" t="s">
        <v>515</v>
      </c>
      <c r="AP10" s="418"/>
      <c r="AQ10" s="418"/>
      <c r="AR10" s="418"/>
      <c r="AS10" s="1395"/>
      <c r="AT10" s="1395"/>
      <c r="AU10" s="1498"/>
      <c r="AV10" s="1395"/>
      <c r="AW10" s="1498"/>
      <c r="AX10" s="1395"/>
      <c r="AY10" s="1395"/>
      <c r="AZ10" s="1395"/>
      <c r="BA10" s="1395"/>
      <c r="BB10" s="1399"/>
      <c r="BC10" s="2308"/>
      <c r="BE10" s="502"/>
      <c r="BF10" s="502"/>
      <c r="BG10" s="502"/>
      <c r="BH10" s="502"/>
      <c r="BI10" s="1157">
        <v>0</v>
      </c>
    </row>
    <row customHeight="1" ht="11.25" hidden="1">
      <c r="A11" s="1365"/>
      <c r="B11" s="1365"/>
      <c r="C11" s="1365"/>
      <c r="D11" s="1365"/>
      <c r="E11" s="2278"/>
      <c r="F11" s="2278"/>
      <c r="G11" s="2278"/>
      <c r="H11" s="2278"/>
      <c r="I11" s="2280"/>
      <c r="J11" s="2280"/>
      <c r="K11" s="2279"/>
      <c r="L11" s="1366"/>
      <c r="P11" s="2281"/>
      <c r="Q11" s="2281"/>
      <c r="R11" s="2364"/>
      <c r="S11" s="2362"/>
      <c r="T11" s="2384"/>
      <c r="U11" s="302"/>
      <c r="V11" s="1395"/>
      <c r="W11" s="1498"/>
      <c r="X11" s="1395"/>
      <c r="Y11" s="1498"/>
      <c r="Z11" s="1395"/>
      <c r="AA11" s="1395"/>
      <c r="AB11" s="1395"/>
      <c r="AC11" s="1395"/>
      <c r="AD11" s="2216"/>
      <c r="AE11" s="2357"/>
      <c r="AF11" s="2228"/>
      <c r="AG11" s="2382"/>
      <c r="AH11" s="2150"/>
      <c r="AI11" s="296"/>
      <c r="AJ11" s="417"/>
      <c r="AK11" s="315" t="s">
        <v>516</v>
      </c>
      <c r="AL11" s="1395"/>
      <c r="AM11" s="1395"/>
      <c r="AN11" s="1395"/>
      <c r="AO11" s="1395"/>
      <c r="AP11" s="1395"/>
      <c r="AQ11" s="1395"/>
      <c r="AR11" s="1395"/>
      <c r="AS11" s="1395"/>
      <c r="AT11" s="1395"/>
      <c r="AU11" s="1498"/>
      <c r="AV11" s="1395"/>
      <c r="AW11" s="1498"/>
      <c r="AX11" s="1395"/>
      <c r="AY11" s="1395"/>
      <c r="AZ11" s="1395"/>
      <c r="BA11" s="1395"/>
      <c r="BB11" s="1399"/>
      <c r="BC11" s="2308"/>
      <c r="BE11" s="502"/>
      <c r="BF11" s="502"/>
      <c r="BG11" s="502"/>
      <c r="BH11" s="502"/>
      <c r="BI11" s="1157">
        <v>0</v>
      </c>
    </row>
    <row customHeight="1" ht="11.25" hidden="1">
      <c r="A12" s="1365"/>
      <c r="B12" s="1365"/>
      <c r="C12" s="1365"/>
      <c r="D12" s="1365"/>
      <c r="E12" s="2278"/>
      <c r="F12" s="2278"/>
      <c r="G12" s="2278"/>
      <c r="H12" s="2278"/>
      <c r="I12" s="2280"/>
      <c r="J12" s="2280"/>
      <c r="K12" s="2279"/>
      <c r="L12" s="1366"/>
      <c r="P12" s="2281"/>
      <c r="Q12" s="2281"/>
      <c r="R12" s="2364"/>
      <c r="S12" s="2363"/>
      <c r="T12" s="2385"/>
      <c r="U12" s="302"/>
      <c r="V12" s="1395"/>
      <c r="W12" s="1396" t="str">
        <f>Z8&amp;"-"&amp;AB8</f>
        <v>-</v>
      </c>
      <c r="X12" s="1395"/>
      <c r="Y12" s="1396" t="str">
        <f>AB8&amp;"-"&amp;AD8</f>
        <v>-да</v>
      </c>
      <c r="Z12" s="1395"/>
      <c r="AA12" s="1395"/>
      <c r="AB12" s="1395"/>
      <c r="AC12" s="1395"/>
      <c r="AD12" s="2155"/>
      <c r="AE12" s="314"/>
      <c r="AF12" s="316"/>
      <c r="AG12" s="418" t="s">
        <v>496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308"/>
      <c r="BE12" s="502"/>
      <c r="BF12" s="502" t="str">
        <f>IF(T12="","",T12)</f>
        <v/>
      </c>
      <c r="BG12" s="502"/>
      <c r="BH12" s="502"/>
      <c r="BI12" s="1157">
        <v>0</v>
      </c>
    </row>
    <row customHeight="1" ht="11.25" hidden="1">
      <c r="A13" s="1365"/>
      <c r="B13" s="1365"/>
      <c r="C13" s="1365"/>
      <c r="D13" s="1365"/>
      <c r="E13" s="2278"/>
      <c r="F13" s="2278"/>
      <c r="G13" s="2278"/>
      <c r="H13" s="2278"/>
      <c r="I13" s="2280"/>
      <c r="J13" s="2279"/>
      <c r="K13" s="1365"/>
      <c r="L13" s="1366"/>
      <c r="P13" s="2281"/>
      <c r="Q13" s="2281"/>
      <c r="R13" s="358"/>
      <c r="S13" s="1280"/>
      <c r="T13" s="289" t="s">
        <v>459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309"/>
      <c r="BE13" s="502"/>
      <c r="BF13" s="502" t="str">
        <f>IF(T13="","",T13)</f>
        <v>Добавить строку</v>
      </c>
      <c r="BG13" s="502"/>
      <c r="BH13" s="502"/>
      <c r="BI13" s="1157">
        <v>0</v>
      </c>
    </row>
    <row s="1644" customFormat="1" customHeight="1" ht="14.25" hidden="1">
      <c r="A14" s="1345"/>
      <c r="B14" s="1345"/>
      <c r="C14" s="1345"/>
      <c r="D14" s="1345"/>
      <c r="E14" s="2278"/>
      <c r="F14" s="2278"/>
      <c r="G14" s="2278"/>
      <c r="H14" s="2278"/>
      <c r="I14" s="2279"/>
      <c r="J14" s="1345"/>
      <c r="K14" s="1345"/>
      <c r="L14" s="1348"/>
      <c r="M14" s="512"/>
      <c r="N14" s="512"/>
      <c r="O14" s="512"/>
      <c r="P14" s="2281"/>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78"/>
      <c r="F15" s="2278"/>
      <c r="G15" s="2278"/>
      <c r="H15" s="2277"/>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78"/>
      <c r="F16" s="2278"/>
      <c r="G16" s="2277"/>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78"/>
      <c r="F17" s="2277"/>
      <c r="G17" s="1316"/>
      <c r="H17" s="1316"/>
      <c r="I17" s="1316"/>
      <c r="J17" s="1316"/>
      <c r="K17" s="1316"/>
      <c r="L17" s="1496"/>
      <c r="M17" s="1323"/>
      <c r="N17" s="1323"/>
      <c r="P17" s="1318"/>
      <c r="Q17" s="1319"/>
      <c r="R17" s="1318"/>
      <c r="S17" s="1324"/>
      <c r="T17" s="1327" t="s">
        <v>410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77"/>
      <c r="F18" s="1345"/>
      <c r="G18" s="1345"/>
      <c r="H18" s="1345"/>
      <c r="I18" s="1345"/>
      <c r="J18" s="1345"/>
      <c r="K18" s="1345"/>
      <c r="L18" s="1348"/>
      <c r="M18" s="1323"/>
      <c r="N18" s="1323"/>
      <c r="O18" s="520"/>
      <c r="P18" s="382"/>
      <c r="Q18" s="1346"/>
      <c r="R18" s="382"/>
      <c r="S18" s="1324"/>
      <c r="T18" s="1327" t="s">
        <v>411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7"/>
      <c r="AY20" s="1487" t="s">
        <v>65</v>
      </c>
      <c r="AZ20" s="1737"/>
      <c r="BA20" s="1487" t="s">
        <v>65</v>
      </c>
      <c r="BI20" s="1157">
        <v>0</v>
      </c>
    </row>
    <row customHeight="1" ht="14.25" hidden="1">
      <c r="BD21" s="498"/>
      <c r="BE21" s="498"/>
      <c r="BF21" s="498"/>
      <c r="BG21" s="498"/>
      <c r="BH21" s="498"/>
      <c r="BI21" s="1157">
        <v>0</v>
      </c>
    </row>
    <row customHeight="1" ht="14.25" hidden="1">
      <c r="O22" s="1369" t="s">
        <v>412</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413</v>
      </c>
      <c r="P24" s="1510"/>
      <c r="Q24" s="1512"/>
      <c r="R24" s="1512"/>
      <c r="AA24" s="1509" t="s">
        <v>415</v>
      </c>
      <c r="AC24" s="1509" t="s">
        <v>416</v>
      </c>
      <c r="AD24" s="1509" t="s">
        <v>460</v>
      </c>
      <c r="AH24" s="1509" t="s">
        <v>460</v>
      </c>
      <c r="AK24" s="1509" t="s">
        <v>497</v>
      </c>
      <c r="AL24" s="1509" t="s">
        <v>460</v>
      </c>
      <c r="AP24" s="1509" t="s">
        <v>460</v>
      </c>
      <c r="AY24" s="1509" t="s">
        <v>415</v>
      </c>
      <c r="BA24" s="1509" t="s">
        <v>416</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31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10"/>
      <c r="U28" s="2310"/>
      <c r="V28" s="2310"/>
      <c r="W28" s="2310"/>
      <c r="X28" s="2310"/>
      <c r="Y28" s="2310"/>
      <c r="Z28" s="2310"/>
      <c r="AA28" s="2310"/>
      <c r="AB28" s="2310"/>
      <c r="AC28" s="2310"/>
      <c r="AD28" s="2310"/>
      <c r="AE28" s="2310"/>
      <c r="AF28" s="2310"/>
      <c r="AG28" s="2310"/>
      <c r="AH28" s="2310"/>
      <c r="AI28" s="2310"/>
      <c r="AJ28" s="2310"/>
      <c r="AK28" s="2310"/>
      <c r="AL28" s="2310"/>
      <c r="AM28" s="2310"/>
      <c r="AN28" s="2310"/>
      <c r="AO28" s="2310"/>
      <c r="AP28" s="2310"/>
      <c r="AQ28" s="2310"/>
      <c r="AR28" s="2310"/>
      <c r="AS28" s="2310"/>
      <c r="AT28" s="2310"/>
      <c r="AU28" s="2310"/>
      <c r="AV28" s="2310"/>
      <c r="AW28" s="2310"/>
      <c r="AX28" s="2310"/>
      <c r="AY28" s="2310"/>
      <c r="AZ28" s="2310"/>
      <c r="BA28" s="1245"/>
      <c r="BI28" s="1157">
        <v>14</v>
      </c>
    </row>
    <row customHeight="1" ht="14.699999999999998">
      <c r="Q29" s="293"/>
      <c r="R29" s="378"/>
      <c r="S29" s="2311" t="str">
        <f>IF(org=0,"Не определено",org)</f>
        <v>Муниципальное унитарное предприятие "Невельские коммунальные сети"</v>
      </c>
      <c r="T29" s="2311"/>
      <c r="U29" s="2311"/>
      <c r="V29" s="2311"/>
      <c r="W29" s="2311"/>
      <c r="X29" s="2311"/>
      <c r="Y29" s="2311"/>
      <c r="Z29" s="2311"/>
      <c r="AA29" s="2311"/>
      <c r="AB29" s="2311"/>
      <c r="AC29" s="2311"/>
      <c r="AD29" s="2311"/>
      <c r="AE29" s="2311"/>
      <c r="AF29" s="2311"/>
      <c r="AG29" s="2311"/>
      <c r="AH29" s="2311"/>
      <c r="AI29" s="2311"/>
      <c r="AJ29" s="2311"/>
      <c r="AK29" s="2311"/>
      <c r="AL29" s="2311"/>
      <c r="AM29" s="2311"/>
      <c r="AN29" s="2311"/>
      <c r="AO29" s="2311"/>
      <c r="AP29" s="2311"/>
      <c r="AQ29" s="2311"/>
      <c r="AR29" s="2311"/>
      <c r="AS29" s="2311"/>
      <c r="AT29" s="2311"/>
      <c r="AU29" s="2311"/>
      <c r="AV29" s="2311"/>
      <c r="AW29" s="2311"/>
      <c r="AX29" s="2311"/>
      <c r="AY29" s="2311"/>
      <c r="AZ29" s="231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2" customFormat="1" customHeight="1" ht="25.5" hidden="1">
      <c r="A31" s="1370"/>
      <c r="B31" s="1370"/>
      <c r="C31" s="1370"/>
      <c r="D31" s="1370"/>
      <c r="E31" s="1370"/>
      <c r="F31" s="1370"/>
      <c r="G31" s="1370"/>
      <c r="H31" s="1370"/>
      <c r="I31" s="1370"/>
      <c r="J31" s="1370"/>
      <c r="K31" s="1370"/>
      <c r="L31" s="1371"/>
      <c r="M31" s="1370"/>
      <c r="N31" s="1370"/>
      <c r="O31" s="1370"/>
      <c r="P31" s="1370"/>
      <c r="Q31" s="1370"/>
      <c r="S31"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68"/>
      <c r="U31" s="1374"/>
      <c r="V31" s="2270" t="str">
        <f>IF(TITLE_NAME_OR_PR_CHANGE="",IF(TITLE_NAME_OR_PR="","",TITLE_NAME_OR_PR),TITLE_NAME_OR_PR_CHANGE)</f>
        <v/>
      </c>
      <c r="W31" s="2270"/>
      <c r="X31" s="2270"/>
      <c r="Y31" s="2270"/>
      <c r="Z31" s="2270"/>
      <c r="AA31" s="2270"/>
      <c r="AB31" s="2270"/>
      <c r="AC31" s="328"/>
      <c r="AD31" s="2270" t="str">
        <f>IF(TITLE_NAME_OR_PR_CHANGE="",IF(TITLE_NAME_OR_PR="","",TITLE_NAME_OR_PR),TITLE_NAME_OR_PR_CHANGE)</f>
        <v/>
      </c>
      <c r="AE31" s="2270"/>
      <c r="AF31" s="2270"/>
      <c r="AG31" s="2270"/>
      <c r="AH31" s="2270"/>
      <c r="AI31" s="2270"/>
      <c r="AJ31" s="2270"/>
      <c r="AK31" s="2270"/>
      <c r="AL31" s="2270"/>
      <c r="AM31" s="2270"/>
      <c r="AN31" s="2270"/>
      <c r="AO31" s="2270"/>
      <c r="AP31" s="2270"/>
      <c r="AQ31" s="2270"/>
      <c r="AR31" s="2270"/>
      <c r="AS31" s="2270"/>
      <c r="AT31" s="2270"/>
      <c r="AU31" s="2270"/>
      <c r="AV31" s="2270"/>
      <c r="AW31" s="2270"/>
      <c r="AX31" s="2270"/>
      <c r="AY31" s="2270"/>
      <c r="AZ31" s="2270"/>
      <c r="BA31" s="328"/>
      <c r="BB31" s="328"/>
      <c r="BC31" s="282"/>
      <c r="BD31" s="370"/>
      <c r="BE31" s="370"/>
      <c r="BF31" s="370"/>
      <c r="BG31" s="370"/>
      <c r="BH31" s="370"/>
      <c r="BI31" s="420">
        <v>0</v>
      </c>
    </row>
    <row s="1852" customFormat="1" customHeight="1" ht="18.75" hidden="1">
      <c r="A32" s="1370"/>
      <c r="B32" s="1370"/>
      <c r="C32" s="1370"/>
      <c r="D32" s="1370"/>
      <c r="E32" s="1370"/>
      <c r="F32" s="1370"/>
      <c r="G32" s="1370"/>
      <c r="H32" s="1370"/>
      <c r="I32" s="1370"/>
      <c r="J32" s="1370"/>
      <c r="K32" s="1370"/>
      <c r="L32" s="1371"/>
      <c r="M32" s="1370"/>
      <c r="N32" s="1370"/>
      <c r="O32" s="1370"/>
      <c r="P32" s="1370"/>
      <c r="Q32" s="1370"/>
      <c r="S32" s="2268" t="str">
        <f>"Дата документа об "&amp;IF(TITLE_DATE_PR_CHANGE="","утверждении","изменении")&amp;" тарифов"</f>
        <v>Дата документа об утверждении тарифов</v>
      </c>
      <c r="T32" s="2268"/>
      <c r="U32" s="1374"/>
      <c r="V32" s="2269" t="str">
        <f>IF(TITLE_DATE_PR_CHANGE="",IF(TITLE_DATE_PR="","",TITLE_DATE_PR),TITLE_DATE_PR_CHANGE)</f>
        <v/>
      </c>
      <c r="W32" s="2269"/>
      <c r="X32" s="2269"/>
      <c r="Y32" s="2269"/>
      <c r="Z32" s="2269"/>
      <c r="AA32" s="2269"/>
      <c r="AB32" s="2269"/>
      <c r="AC32" s="328"/>
      <c r="AD32" s="2269" t="str">
        <f>IF(TITLE_DATE_PR_CHANGE="",IF(TITLE_DATE_PR="","",TITLE_DATE_PR),TITLE_DATE_PR_CHANGE)</f>
        <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28"/>
      <c r="BB32" s="328"/>
      <c r="BC32" s="282"/>
      <c r="BD32" s="370"/>
      <c r="BE32" s="370"/>
      <c r="BF32" s="370"/>
      <c r="BG32" s="370"/>
      <c r="BH32" s="370"/>
      <c r="BI32" s="420">
        <v>0</v>
      </c>
    </row>
    <row s="1852" customFormat="1" customHeight="1" ht="18.75" hidden="1">
      <c r="A33" s="1370"/>
      <c r="B33" s="1370"/>
      <c r="C33" s="1370"/>
      <c r="D33" s="1370"/>
      <c r="E33" s="1370"/>
      <c r="F33" s="1370"/>
      <c r="G33" s="1370"/>
      <c r="H33" s="1370"/>
      <c r="I33" s="1370"/>
      <c r="J33" s="1370"/>
      <c r="K33" s="1370"/>
      <c r="L33" s="1371"/>
      <c r="M33" s="1370"/>
      <c r="N33" s="1370"/>
      <c r="O33" s="1370"/>
      <c r="P33" s="1370"/>
      <c r="Q33" s="1370"/>
      <c r="S33" s="2268" t="str">
        <f>"Номер документа об "&amp;IF(TITLE_DATE_PR_CHANGE="","утверждении","изменении")&amp;" тарифов"</f>
        <v>Номер документа об утверждении тарифов</v>
      </c>
      <c r="T33" s="2268"/>
      <c r="U33" s="1374"/>
      <c r="V33" s="2270" t="str">
        <f>IF(TITLE_NUMBER_PR_CHANGE="",IF(TITLE_NUMBER_PR="","",TITLE_NUMBER_PR),TITLE_NUMBER_PR_CHANGE)</f>
        <v/>
      </c>
      <c r="W33" s="2270"/>
      <c r="X33" s="2270"/>
      <c r="Y33" s="2270"/>
      <c r="Z33" s="2270"/>
      <c r="AA33" s="2270"/>
      <c r="AB33" s="2270"/>
      <c r="AC33" s="328"/>
      <c r="AD33" s="2270" t="str">
        <f>IF(TITLE_NUMBER_PR_CHANGE="",IF(TITLE_NUMBER_PR="","",TITLE_NUMBER_PR),TITLE_NUMBER_PR_CHANGE)</f>
        <v/>
      </c>
      <c r="AE33" s="2270"/>
      <c r="AF33" s="2270"/>
      <c r="AG33" s="2270"/>
      <c r="AH33" s="2270"/>
      <c r="AI33" s="2270"/>
      <c r="AJ33" s="2270"/>
      <c r="AK33" s="2270"/>
      <c r="AL33" s="2270"/>
      <c r="AM33" s="2270"/>
      <c r="AN33" s="2270"/>
      <c r="AO33" s="2270"/>
      <c r="AP33" s="2270"/>
      <c r="AQ33" s="2270"/>
      <c r="AR33" s="2270"/>
      <c r="AS33" s="2270"/>
      <c r="AT33" s="2270"/>
      <c r="AU33" s="2270"/>
      <c r="AV33" s="2270"/>
      <c r="AW33" s="2270"/>
      <c r="AX33" s="2270"/>
      <c r="AY33" s="2270"/>
      <c r="AZ33" s="2270"/>
      <c r="BA33" s="328"/>
      <c r="BB33" s="328"/>
      <c r="BC33" s="282"/>
      <c r="BD33" s="370"/>
      <c r="BE33" s="370"/>
      <c r="BF33" s="370"/>
      <c r="BG33" s="370"/>
      <c r="BH33" s="370"/>
      <c r="BI33" s="420">
        <v>0</v>
      </c>
    </row>
    <row s="1852" customFormat="1" customHeight="1" ht="18.75" hidden="1">
      <c r="A34" s="1370"/>
      <c r="B34" s="1370"/>
      <c r="C34" s="1370"/>
      <c r="D34" s="1370"/>
      <c r="E34" s="1370"/>
      <c r="F34" s="1370"/>
      <c r="G34" s="1370"/>
      <c r="H34" s="1370"/>
      <c r="I34" s="1370"/>
      <c r="J34" s="1370"/>
      <c r="K34" s="1370"/>
      <c r="L34" s="1371"/>
      <c r="M34" s="1370"/>
      <c r="N34" s="1370"/>
      <c r="O34" s="1370"/>
      <c r="P34" s="1370"/>
      <c r="Q34" s="1370"/>
      <c r="S34" s="2268" t="s">
        <v>43</v>
      </c>
      <c r="T34" s="2268"/>
      <c r="U34" s="1374"/>
      <c r="V34" s="2270" t="str">
        <f>IF(TITLE_IST_PUB_CHANGE="",IF(TITLE_IST_PUB="","",TITLE_IST_PUB),TITLE_IST_PUB_CHANGE)</f>
        <v/>
      </c>
      <c r="W34" s="2270"/>
      <c r="X34" s="2270"/>
      <c r="Y34" s="2270"/>
      <c r="Z34" s="2270"/>
      <c r="AA34" s="2270"/>
      <c r="AB34" s="2270"/>
      <c r="AC34" s="328"/>
      <c r="AD34" s="2270" t="str">
        <f>IF(TITLE_IST_PUB_CHANGE="",IF(TITLE_IST_PUB="","",TITLE_IST_PUB),TITLE_IST_PUB_CHANGE)</f>
        <v/>
      </c>
      <c r="AE34" s="2270"/>
      <c r="AF34" s="2270"/>
      <c r="AG34" s="2270"/>
      <c r="AH34" s="2270"/>
      <c r="AI34" s="2270"/>
      <c r="AJ34" s="2270"/>
      <c r="AK34" s="2270"/>
      <c r="AL34" s="2270"/>
      <c r="AM34" s="2270"/>
      <c r="AN34" s="2270"/>
      <c r="AO34" s="2270"/>
      <c r="AP34" s="2270"/>
      <c r="AQ34" s="2270"/>
      <c r="AR34" s="2270"/>
      <c r="AS34" s="2270"/>
      <c r="AT34" s="2270"/>
      <c r="AU34" s="2270"/>
      <c r="AV34" s="2270"/>
      <c r="AW34" s="2270"/>
      <c r="AX34" s="2270"/>
      <c r="AY34" s="2270"/>
      <c r="AZ34" s="2270"/>
      <c r="BA34" s="328"/>
      <c r="BB34" s="328"/>
      <c r="BC34" s="282"/>
      <c r="BD34" s="370"/>
      <c r="BE34" s="370"/>
      <c r="BF34" s="370"/>
      <c r="BG34" s="370"/>
      <c r="BH34" s="370"/>
      <c r="BI34" s="420">
        <v>0</v>
      </c>
    </row>
    <row customHeight="1" ht="14.25" hidden="1">
      <c r="Q35" s="293"/>
      <c r="R35" s="378"/>
      <c r="S35" s="1277"/>
      <c r="T35" s="459"/>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2" customFormat="1" customHeight="1" ht="18.75" hidden="1">
      <c r="A36" s="1370"/>
      <c r="B36" s="1370"/>
      <c r="C36" s="1370"/>
      <c r="D36" s="1370"/>
      <c r="E36" s="1370"/>
      <c r="F36" s="1370"/>
      <c r="G36" s="1370"/>
      <c r="H36" s="1370"/>
      <c r="I36" s="1370"/>
      <c r="J36" s="1370"/>
      <c r="K36" s="1370"/>
      <c r="L36" s="1371"/>
      <c r="M36" s="1370"/>
      <c r="N36" s="1370"/>
      <c r="O36" s="1370"/>
      <c r="P36" s="1370"/>
      <c r="Q36" s="1370"/>
      <c r="S36" s="2268" t="str">
        <f>"Дата подачи заявления об "&amp;IF(TITLE_DATE_PR_CHANGE="","утверждении","изменении")&amp;" тарифов"</f>
        <v>Дата подачи заявления об утверждении тарифов</v>
      </c>
      <c r="T36" s="2268"/>
      <c r="U36" s="1374"/>
      <c r="V36" s="2269" t="str">
        <f>IF(TITLE_DATE_PR_CHANGE="",IF(TITLE_DATE_PR="","",TITLE_DATE_PR),TITLE_DATE_PR_CHANGE)</f>
        <v/>
      </c>
      <c r="W36" s="2269"/>
      <c r="X36" s="2269"/>
      <c r="Y36" s="2269"/>
      <c r="Z36" s="2269"/>
      <c r="AA36" s="2269"/>
      <c r="AB36" s="2269"/>
      <c r="AC36" s="328"/>
      <c r="AD36" s="2269" t="str">
        <f>IF(TITLE_DATE_PR_CHANGE="",IF(TITLE_DATE_PR="","",TITLE_DATE_PR),TITLE_DATE_PR_CHANGE)</f>
        <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28"/>
      <c r="BB36" s="328"/>
      <c r="BC36" s="282"/>
      <c r="BD36" s="370"/>
      <c r="BE36" s="370"/>
      <c r="BF36" s="370"/>
      <c r="BG36" s="370"/>
      <c r="BH36" s="370"/>
      <c r="BI36" s="420">
        <v>0</v>
      </c>
    </row>
    <row s="1852" customFormat="1" customHeight="1" ht="18.75" hidden="1">
      <c r="A37" s="1370"/>
      <c r="B37" s="1370"/>
      <c r="C37" s="1370"/>
      <c r="D37" s="1370"/>
      <c r="E37" s="1370"/>
      <c r="F37" s="1370"/>
      <c r="G37" s="1370"/>
      <c r="H37" s="1370"/>
      <c r="I37" s="1370"/>
      <c r="J37" s="1370"/>
      <c r="K37" s="1370"/>
      <c r="L37" s="1371"/>
      <c r="M37" s="1370"/>
      <c r="N37" s="1370"/>
      <c r="O37" s="1370"/>
      <c r="P37" s="1370"/>
      <c r="Q37" s="1370"/>
      <c r="S37" s="2268" t="str">
        <f>"Номер подачи заявления об "&amp;IF(TITLE_DATE_PR_CHANGE="","утверждении","изменении")&amp;" тарифов"</f>
        <v>Номер подачи заявления об утверждении тарифов</v>
      </c>
      <c r="T37" s="2268"/>
      <c r="U37" s="1374"/>
      <c r="V37" s="2270" t="str">
        <f>IF(TITLE_NUMBER_PR_CHANGE="",IF(TITLE_NUMBER_PR="","",TITLE_NUMBER_PR),TITLE_NUMBER_PR_CHANGE)</f>
        <v/>
      </c>
      <c r="W37" s="2270"/>
      <c r="X37" s="2270"/>
      <c r="Y37" s="2270"/>
      <c r="Z37" s="2270"/>
      <c r="AA37" s="2270"/>
      <c r="AB37" s="2270"/>
      <c r="AC37" s="328"/>
      <c r="AD37" s="2270" t="str">
        <f>IF(TITLE_NUMBER_PR_CHANGE="",IF(TITLE_NUMBER_PR="","",TITLE_NUMBER_PR),TITLE_NUMBER_PR_CHANGE)</f>
        <v/>
      </c>
      <c r="AE37" s="2270"/>
      <c r="AF37" s="2270"/>
      <c r="AG37" s="2270"/>
      <c r="AH37" s="2270"/>
      <c r="AI37" s="2270"/>
      <c r="AJ37" s="2270"/>
      <c r="AK37" s="2270"/>
      <c r="AL37" s="2270"/>
      <c r="AM37" s="2270"/>
      <c r="AN37" s="2270"/>
      <c r="AO37" s="2270"/>
      <c r="AP37" s="2270"/>
      <c r="AQ37" s="2270"/>
      <c r="AR37" s="2270"/>
      <c r="AS37" s="2270"/>
      <c r="AT37" s="2270"/>
      <c r="AU37" s="2270"/>
      <c r="AV37" s="2270"/>
      <c r="AW37" s="2270"/>
      <c r="AX37" s="2270"/>
      <c r="AY37" s="2270"/>
      <c r="AZ37" s="2270"/>
      <c r="BA37" s="328"/>
      <c r="BB37" s="328"/>
      <c r="BC37" s="282"/>
      <c r="BD37" s="370"/>
      <c r="BE37" s="370"/>
      <c r="BF37" s="370"/>
      <c r="BG37" s="370"/>
      <c r="BH37" s="370"/>
      <c r="BI37" s="420">
        <v>0</v>
      </c>
    </row>
    <row s="1852"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418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418</v>
      </c>
      <c r="BD38" s="370"/>
      <c r="BE38" s="370"/>
      <c r="BF38" s="370"/>
      <c r="BG38" s="370"/>
      <c r="BH38" s="370"/>
      <c r="BI38" s="420">
        <v>0</v>
      </c>
    </row>
    <row customHeight="1" ht="14.699999999999998">
      <c r="Q39" s="293"/>
      <c r="R39" s="378"/>
      <c r="S39" s="1277"/>
      <c r="T39" s="365"/>
      <c r="U39" s="1246"/>
      <c r="V39" s="2294"/>
      <c r="W39" s="2294"/>
      <c r="X39" s="2294"/>
      <c r="Y39" s="2294"/>
      <c r="Z39" s="2294"/>
      <c r="AA39" s="2294"/>
      <c r="AB39" s="2294"/>
      <c r="AC39" s="2294"/>
      <c r="AD39" s="2294"/>
      <c r="AE39" s="2294"/>
      <c r="AF39" s="2294"/>
      <c r="AG39" s="2294"/>
      <c r="AH39" s="2294"/>
      <c r="AI39" s="2294"/>
      <c r="AJ39" s="2294"/>
      <c r="AK39" s="2294"/>
      <c r="AL39" s="2294"/>
      <c r="AM39" s="2294"/>
      <c r="AN39" s="2294"/>
      <c r="AO39" s="2294"/>
      <c r="AP39" s="2294"/>
      <c r="AQ39" s="2294"/>
      <c r="AR39" s="2294"/>
      <c r="AS39" s="2294"/>
      <c r="AT39" s="2294"/>
      <c r="AU39" s="2294"/>
      <c r="AV39" s="2294"/>
      <c r="AW39" s="2294"/>
      <c r="AX39" s="2294"/>
      <c r="AY39" s="2294"/>
      <c r="AZ39" s="2294"/>
      <c r="BA39" s="2294"/>
      <c r="BI39" s="1157">
        <v>14</v>
      </c>
    </row>
    <row customHeight="1" ht="14.699999999999998">
      <c r="Q40" s="293"/>
      <c r="R40" s="378"/>
      <c r="S40" s="2140" t="s">
        <v>295</v>
      </c>
      <c r="T40" s="2140"/>
      <c r="U40" s="2140"/>
      <c r="V40" s="2140"/>
      <c r="W40" s="2140"/>
      <c r="X40" s="2140"/>
      <c r="Y40" s="2140"/>
      <c r="Z40" s="2140"/>
      <c r="AA40" s="2140"/>
      <c r="AB40" s="2140"/>
      <c r="AC40" s="2140"/>
      <c r="AD40" s="2140"/>
      <c r="AE40" s="2140"/>
      <c r="AF40" s="2140"/>
      <c r="AG40" s="2140"/>
      <c r="AH40" s="2140"/>
      <c r="AI40" s="2140"/>
      <c r="AJ40" s="2140"/>
      <c r="AK40" s="2140"/>
      <c r="AL40" s="2140"/>
      <c r="AM40" s="2140"/>
      <c r="AN40" s="2140"/>
      <c r="AO40" s="2140"/>
      <c r="AP40" s="2140"/>
      <c r="AQ40" s="2140"/>
      <c r="AR40" s="2140"/>
      <c r="AS40" s="2140"/>
      <c r="AT40" s="2140"/>
      <c r="AU40" s="2140"/>
      <c r="AV40" s="2140"/>
      <c r="AW40" s="2140"/>
      <c r="AX40" s="2140"/>
      <c r="AY40" s="2140"/>
      <c r="AZ40" s="2140"/>
      <c r="BA40" s="2140"/>
      <c r="BB40" s="2140"/>
      <c r="BC40" s="2140" t="s">
        <v>296</v>
      </c>
      <c r="BI40" s="1157">
        <v>14</v>
      </c>
    </row>
    <row customHeight="1" ht="14.699999999999998">
      <c r="Q41" s="293"/>
      <c r="R41" s="378"/>
      <c r="S41" s="2295" t="s">
        <v>88</v>
      </c>
      <c r="T41" s="2232" t="s">
        <v>500</v>
      </c>
      <c r="U41" s="303"/>
      <c r="V41" s="2296" t="s">
        <v>420</v>
      </c>
      <c r="W41" s="2297"/>
      <c r="X41" s="2297"/>
      <c r="Y41" s="2297"/>
      <c r="Z41" s="2297"/>
      <c r="AA41" s="2297"/>
      <c r="AB41" s="2298"/>
      <c r="AC41" s="2299" t="s">
        <v>421</v>
      </c>
      <c r="AD41" s="2350" t="s">
        <v>517</v>
      </c>
      <c r="AE41" s="2318"/>
      <c r="AF41" s="2318"/>
      <c r="AG41" s="2351"/>
      <c r="AH41" s="2350" t="s">
        <v>518</v>
      </c>
      <c r="AI41" s="2318"/>
      <c r="AJ41" s="2318"/>
      <c r="AK41" s="2351"/>
      <c r="AL41" s="2350" t="s">
        <v>519</v>
      </c>
      <c r="AM41" s="2318"/>
      <c r="AN41" s="2318"/>
      <c r="AO41" s="2351"/>
      <c r="AP41" s="2350" t="s">
        <v>504</v>
      </c>
      <c r="AQ41" s="2318"/>
      <c r="AR41" s="2318"/>
      <c r="AS41" s="2351"/>
      <c r="AT41" s="2296" t="s">
        <v>420</v>
      </c>
      <c r="AU41" s="2297"/>
      <c r="AV41" s="2297"/>
      <c r="AW41" s="2297"/>
      <c r="AX41" s="2297"/>
      <c r="AY41" s="2297"/>
      <c r="AZ41" s="2298"/>
      <c r="BA41" s="2299" t="s">
        <v>421</v>
      </c>
      <c r="BB41" s="2302" t="s">
        <v>423</v>
      </c>
      <c r="BC41" s="2140"/>
      <c r="BI41" s="1157">
        <v>14</v>
      </c>
    </row>
    <row customHeight="1" ht="35.699999999999996">
      <c r="Q42" s="293"/>
      <c r="R42" s="378"/>
      <c r="S42" s="2295"/>
      <c r="T42" s="2232"/>
      <c r="U42" s="1033"/>
      <c r="V42" s="2200" t="s">
        <v>505</v>
      </c>
      <c r="W42" s="2201"/>
      <c r="X42" s="2200" t="s">
        <v>506</v>
      </c>
      <c r="Y42" s="2201"/>
      <c r="Z42" s="2316" t="s">
        <v>507</v>
      </c>
      <c r="AA42" s="2341"/>
      <c r="AB42" s="2342"/>
      <c r="AC42" s="2300"/>
      <c r="AD42" s="2352"/>
      <c r="AE42" s="2353"/>
      <c r="AF42" s="2353"/>
      <c r="AG42" s="2365"/>
      <c r="AH42" s="2352"/>
      <c r="AI42" s="2353"/>
      <c r="AJ42" s="2353"/>
      <c r="AK42" s="2365"/>
      <c r="AL42" s="2352"/>
      <c r="AM42" s="2353"/>
      <c r="AN42" s="2353"/>
      <c r="AO42" s="2365"/>
      <c r="AP42" s="2352"/>
      <c r="AQ42" s="2353"/>
      <c r="AR42" s="2353"/>
      <c r="AS42" s="2365"/>
      <c r="AT42" s="2200" t="s">
        <v>520</v>
      </c>
      <c r="AU42" s="2201"/>
      <c r="AV42" s="2200" t="s">
        <v>521</v>
      </c>
      <c r="AW42" s="2201"/>
      <c r="AX42" s="2316" t="s">
        <v>507</v>
      </c>
      <c r="AY42" s="2341"/>
      <c r="AZ42" s="2342"/>
      <c r="BA42" s="2300"/>
      <c r="BB42" s="2303"/>
      <c r="BC42" s="2140"/>
      <c r="BI42" s="1157">
        <v>34</v>
      </c>
    </row>
    <row customHeight="1" ht="14.699999999999998">
      <c r="Q43" s="293"/>
      <c r="R43" s="378"/>
      <c r="S43" s="2295"/>
      <c r="T43" s="2232"/>
      <c r="U43" s="1033"/>
      <c r="V43" s="2208"/>
      <c r="W43" s="2209"/>
      <c r="X43" s="2208"/>
      <c r="Y43" s="2209"/>
      <c r="Z43" s="2317"/>
      <c r="AA43" s="2343"/>
      <c r="AB43" s="2344"/>
      <c r="AC43" s="2300"/>
      <c r="AD43" s="2352"/>
      <c r="AE43" s="2353"/>
      <c r="AF43" s="2353"/>
      <c r="AG43" s="2365"/>
      <c r="AH43" s="2352"/>
      <c r="AI43" s="2353"/>
      <c r="AJ43" s="2353"/>
      <c r="AK43" s="2365"/>
      <c r="AL43" s="2352"/>
      <c r="AM43" s="2353"/>
      <c r="AN43" s="2353"/>
      <c r="AO43" s="2365"/>
      <c r="AP43" s="2352"/>
      <c r="AQ43" s="2353"/>
      <c r="AR43" s="2353"/>
      <c r="AS43" s="2365"/>
      <c r="AT43" s="2208"/>
      <c r="AU43" s="2209"/>
      <c r="AV43" s="2208"/>
      <c r="AW43" s="2209"/>
      <c r="AX43" s="2317"/>
      <c r="AY43" s="2343"/>
      <c r="AZ43" s="2344"/>
      <c r="BA43" s="2300"/>
      <c r="BB43" s="2303"/>
      <c r="BC43" s="2140"/>
      <c r="BI43" s="1157">
        <v>14</v>
      </c>
    </row>
    <row customHeight="1" ht="14.699999999999998">
      <c r="A44" s="1372"/>
      <c r="B44" s="1372" t="s">
        <v>132</v>
      </c>
      <c r="C44" s="1372" t="s">
        <v>133</v>
      </c>
      <c r="D44" s="1372" t="s">
        <v>134</v>
      </c>
      <c r="E44" s="1366" t="s">
        <v>428</v>
      </c>
      <c r="F44" s="1366" t="s">
        <v>429</v>
      </c>
      <c r="G44" s="1366" t="s">
        <v>430</v>
      </c>
      <c r="H44" s="1366" t="s">
        <v>431</v>
      </c>
      <c r="I44" s="1366" t="s">
        <v>432</v>
      </c>
      <c r="J44" s="1366" t="s">
        <v>433</v>
      </c>
      <c r="K44" s="1366" t="s">
        <v>434</v>
      </c>
      <c r="L44" s="1366" t="s">
        <v>413</v>
      </c>
      <c r="Q44" s="293"/>
      <c r="R44" s="378"/>
      <c r="S44" s="2295"/>
      <c r="T44" s="2232"/>
      <c r="U44" s="304"/>
      <c r="V44" s="1481" t="s">
        <v>469</v>
      </c>
      <c r="W44" s="1481" t="s">
        <v>470</v>
      </c>
      <c r="X44" s="1481" t="s">
        <v>469</v>
      </c>
      <c r="Y44" s="1481" t="s">
        <v>470</v>
      </c>
      <c r="Z44" s="1491" t="s">
        <v>437</v>
      </c>
      <c r="AA44" s="2291" t="s">
        <v>438</v>
      </c>
      <c r="AB44" s="2292"/>
      <c r="AC44" s="2301"/>
      <c r="AD44" s="2354"/>
      <c r="AE44" s="2355"/>
      <c r="AF44" s="2355"/>
      <c r="AG44" s="2356"/>
      <c r="AH44" s="2354"/>
      <c r="AI44" s="2355"/>
      <c r="AJ44" s="2355"/>
      <c r="AK44" s="2356"/>
      <c r="AL44" s="2354"/>
      <c r="AM44" s="2355"/>
      <c r="AN44" s="2355"/>
      <c r="AO44" s="2356"/>
      <c r="AP44" s="2354"/>
      <c r="AQ44" s="2355"/>
      <c r="AR44" s="2355"/>
      <c r="AS44" s="2356"/>
      <c r="AT44" s="1481" t="s">
        <v>469</v>
      </c>
      <c r="AU44" s="1481" t="s">
        <v>470</v>
      </c>
      <c r="AV44" s="1481" t="s">
        <v>469</v>
      </c>
      <c r="AW44" s="1481" t="s">
        <v>470</v>
      </c>
      <c r="AX44" s="1491" t="s">
        <v>437</v>
      </c>
      <c r="AY44" s="2291" t="s">
        <v>438</v>
      </c>
      <c r="AZ44" s="2292"/>
      <c r="BA44" s="2301"/>
      <c r="BB44" s="2304"/>
      <c r="BC44" s="2140"/>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106</v>
      </c>
      <c r="T45" s="1257" t="s">
        <v>107</v>
      </c>
      <c r="U45" s="1247" t="str">
        <f>OFFSET(U45,0,-1)</f>
        <v>2</v>
      </c>
      <c r="V45" s="1484">
        <f>OFFSET(V45,0,-1)+1</f>
        <v>3</v>
      </c>
      <c r="W45" s="1484">
        <f>OFFSET(W45,0,-1)+1</f>
        <v>4</v>
      </c>
      <c r="X45" s="1484">
        <f>OFFSET(X45,0,-1)+1</f>
        <v>5</v>
      </c>
      <c r="Y45" s="1484">
        <f>OFFSET(Y45,0,-1)+1</f>
        <v>6</v>
      </c>
      <c r="Z45" s="1484">
        <f>OFFSET(Z45,0,-1)+1</f>
        <v>7</v>
      </c>
      <c r="AA45" s="2293">
        <f>OFFSET(AA45,0,-1)+1</f>
        <v>8</v>
      </c>
      <c r="AB45" s="2293"/>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93">
        <f>OFFSET(AY45,0,-1)+1</f>
        <v>3</v>
      </c>
      <c r="AZ45" s="2293"/>
      <c r="BA45" s="1484">
        <f>OFFSET(BA45,0,-2)+1</f>
        <v>4</v>
      </c>
      <c r="BB45" s="1247">
        <f>OFFSET(BB45,0,-1)</f>
        <v>4</v>
      </c>
      <c r="BC45" s="1484">
        <f>OFFSET(BC45,0,-1)+1</f>
        <v>5</v>
      </c>
      <c r="BD45" s="513"/>
      <c r="BE45" s="513"/>
      <c r="BF45" s="513"/>
      <c r="BG45" s="513"/>
      <c r="BH45" s="513"/>
      <c r="BI45" s="498">
        <v>0</v>
      </c>
    </row>
    <row customHeight="1" ht="22.049999999999997">
      <c r="A46" s="1365" t="s">
        <v>271</v>
      </c>
      <c r="B46" s="1365"/>
      <c r="C46" s="1365"/>
      <c r="D46" s="1365"/>
      <c r="E46" s="2277">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120</v>
      </c>
      <c r="U46" s="302"/>
      <c r="V46" s="2272"/>
      <c r="W46" s="2272"/>
      <c r="X46" s="2272"/>
      <c r="Y46" s="2272"/>
      <c r="Z46" s="2272"/>
      <c r="AA46" s="2272"/>
      <c r="AB46" s="2272"/>
      <c r="AC46" s="2273"/>
      <c r="AD46" s="2271" t="str">
        <f>INDEX(PT_DIFFERENTIATION_NTAR,MATCH(A46,PT_DIFFERENTIATION_NTAR_ID,0))</f>
        <v/>
      </c>
      <c r="AE46" s="2272"/>
      <c r="AF46" s="2272"/>
      <c r="AG46" s="2272"/>
      <c r="AH46" s="2272"/>
      <c r="AI46" s="2272"/>
      <c r="AJ46" s="2272"/>
      <c r="AK46" s="2272"/>
      <c r="AL46" s="2272"/>
      <c r="AM46" s="2272"/>
      <c r="AN46" s="2272"/>
      <c r="AO46" s="2272"/>
      <c r="AP46" s="2272"/>
      <c r="AQ46" s="2272"/>
      <c r="AR46" s="2272"/>
      <c r="AS46" s="2272"/>
      <c r="AT46" s="2272"/>
      <c r="AU46" s="2272"/>
      <c r="AV46" s="2272"/>
      <c r="AW46" s="2272"/>
      <c r="AX46" s="2272"/>
      <c r="AY46" s="2272"/>
      <c r="AZ46" s="2272"/>
      <c r="BA46" s="2272"/>
      <c r="BB46" s="2273"/>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271</v>
      </c>
      <c r="B47" s="1365" t="s">
        <v>272</v>
      </c>
      <c r="C47" s="1365"/>
      <c r="D47" s="1365"/>
      <c r="E47" s="2278"/>
      <c r="F47" s="2277">
        <v>1</v>
      </c>
      <c r="G47" s="1365"/>
      <c r="H47" s="1365"/>
      <c r="I47" s="1365"/>
      <c r="J47" s="1365"/>
      <c r="K47" s="1365"/>
      <c r="L47" s="1366"/>
      <c r="M47" s="1367"/>
      <c r="N47" s="1367"/>
      <c r="O47" s="1367"/>
      <c r="P47" s="1412"/>
      <c r="Q47" s="1413"/>
      <c r="R47" s="355"/>
      <c r="S47" s="1495" t="str">
        <f>INDEX(PT_DIFFERENTIATION_NUM_TER,MATCH(B47,PT_DIFFERENTIATION_TER_ID,0))</f>
        <v>.</v>
      </c>
      <c r="T47" s="310" t="s">
        <v>392</v>
      </c>
      <c r="U47" s="302"/>
      <c r="V47" s="2272"/>
      <c r="W47" s="2272"/>
      <c r="X47" s="2272"/>
      <c r="Y47" s="2272"/>
      <c r="Z47" s="2272"/>
      <c r="AA47" s="2272"/>
      <c r="AB47" s="2272"/>
      <c r="AC47" s="2273"/>
      <c r="AD47" s="2271" t="str">
        <f>INDEX(PT_DIFFERENTIATION_TER,MATCH(B47,PT_DIFFERENTIATION_TER_ID,0))</f>
        <v/>
      </c>
      <c r="AE47" s="2272"/>
      <c r="AF47" s="2272"/>
      <c r="AG47" s="2272"/>
      <c r="AH47" s="2272"/>
      <c r="AI47" s="2272"/>
      <c r="AJ47" s="2272"/>
      <c r="AK47" s="2272"/>
      <c r="AL47" s="2272"/>
      <c r="AM47" s="2272"/>
      <c r="AN47" s="2272"/>
      <c r="AO47" s="2272"/>
      <c r="AP47" s="2272"/>
      <c r="AQ47" s="2272"/>
      <c r="AR47" s="2272"/>
      <c r="AS47" s="2272"/>
      <c r="AT47" s="2272"/>
      <c r="AU47" s="2272"/>
      <c r="AV47" s="2272"/>
      <c r="AW47" s="2272"/>
      <c r="AX47" s="2272"/>
      <c r="AY47" s="2272"/>
      <c r="AZ47" s="2272"/>
      <c r="BA47" s="2272"/>
      <c r="BB47" s="2273"/>
      <c r="BC47" s="1260" t="s">
        <v>393</v>
      </c>
      <c r="BE47" s="502"/>
      <c r="BF47" s="502" t="str">
        <f>IF(T47="","",T47)</f>
        <v>Территория действия тарифа</v>
      </c>
      <c r="BG47" s="502"/>
      <c r="BH47" s="502"/>
      <c r="BI47" s="1157">
        <v>21</v>
      </c>
    </row>
    <row customHeight="1" ht="35.699999999999996">
      <c r="A48" s="1365" t="s">
        <v>271</v>
      </c>
      <c r="B48" s="1365" t="s">
        <v>272</v>
      </c>
      <c r="C48" s="1365" t="s">
        <v>273</v>
      </c>
      <c r="D48" s="1365"/>
      <c r="E48" s="2278"/>
      <c r="F48" s="2278"/>
      <c r="G48" s="2277">
        <v>1</v>
      </c>
      <c r="H48" s="1365"/>
      <c r="I48" s="1365"/>
      <c r="J48" s="1365"/>
      <c r="K48" s="1365"/>
      <c r="L48" s="1366"/>
      <c r="M48" s="1367"/>
      <c r="N48" s="1367"/>
      <c r="O48" s="1367"/>
      <c r="P48" s="1414"/>
      <c r="Q48" s="1413"/>
      <c r="R48" s="355"/>
      <c r="S48" s="1495" t="str">
        <f>INDEX(PT_DIFFERENTIATION_NUM_CS,MATCH(C48,PT_DIFFERENTIATION_CS_ID,0))</f>
        <v>..</v>
      </c>
      <c r="T48" s="311" t="s">
        <v>509</v>
      </c>
      <c r="U48" s="302"/>
      <c r="V48" s="2272"/>
      <c r="W48" s="2272"/>
      <c r="X48" s="2272"/>
      <c r="Y48" s="2272"/>
      <c r="Z48" s="2272"/>
      <c r="AA48" s="2272"/>
      <c r="AB48" s="2272"/>
      <c r="AC48" s="2273"/>
      <c r="AD48" s="2271" t="str">
        <f>INDEX(PT_DIFFERENTIATION_CS,MATCH(C48,PT_DIFFERENTIATION_CS_ID,0))</f>
        <v/>
      </c>
      <c r="AE48" s="2272"/>
      <c r="AF48" s="2272"/>
      <c r="AG48" s="2272"/>
      <c r="AH48" s="2272"/>
      <c r="AI48" s="2272"/>
      <c r="AJ48" s="2272"/>
      <c r="AK48" s="2272"/>
      <c r="AL48" s="2272"/>
      <c r="AM48" s="2272"/>
      <c r="AN48" s="2272"/>
      <c r="AO48" s="2272"/>
      <c r="AP48" s="2272"/>
      <c r="AQ48" s="2272"/>
      <c r="AR48" s="2272"/>
      <c r="AS48" s="2272"/>
      <c r="AT48" s="2272"/>
      <c r="AU48" s="2272"/>
      <c r="AV48" s="2272"/>
      <c r="AW48" s="2272"/>
      <c r="AX48" s="2272"/>
      <c r="AY48" s="2272"/>
      <c r="AZ48" s="2272"/>
      <c r="BA48" s="2272"/>
      <c r="BB48" s="2273"/>
      <c r="BC48" s="1260" t="s">
        <v>510</v>
      </c>
      <c r="BE48" s="502"/>
      <c r="BF48" s="502" t="str">
        <f>IF(T48="","",T48)</f>
        <v>Наименование централизованной системы водоотведения</v>
      </c>
      <c r="BG48" s="502"/>
      <c r="BH48" s="502"/>
      <c r="BI48" s="1157">
        <v>34</v>
      </c>
    </row>
    <row s="1644" customFormat="1" customHeight="1" ht="0">
      <c r="A49" s="1345" t="s">
        <v>271</v>
      </c>
      <c r="B49" s="1345" t="s">
        <v>272</v>
      </c>
      <c r="C49" s="1345" t="s">
        <v>273</v>
      </c>
      <c r="D49" s="1345" t="s">
        <v>522</v>
      </c>
      <c r="E49" s="2278"/>
      <c r="F49" s="2278"/>
      <c r="G49" s="2278"/>
      <c r="H49" s="2277">
        <v>1</v>
      </c>
      <c r="I49" s="1345"/>
      <c r="J49" s="1345"/>
      <c r="K49" s="1345"/>
      <c r="L49" s="1348"/>
      <c r="M49" s="1317"/>
      <c r="N49" s="1317"/>
      <c r="O49" s="1317"/>
      <c r="P49" s="1499"/>
      <c r="Q49" s="1500"/>
      <c r="R49" s="359"/>
      <c r="S49" s="1044"/>
      <c r="T49" s="1501"/>
      <c r="U49" s="1386"/>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387" t="s">
        <v>397</v>
      </c>
      <c r="BE49" s="502"/>
      <c r="BF49" s="502" t="str">
        <f>IF(T49="","",T49)</f>
        <v/>
      </c>
      <c r="BG49" s="502"/>
      <c r="BH49" s="502"/>
      <c r="BI49" s="513">
        <v>0</v>
      </c>
    </row>
    <row s="1644" customFormat="1" customHeight="1" ht="0">
      <c r="A50" s="1345" t="s">
        <v>271</v>
      </c>
      <c r="B50" s="1345" t="s">
        <v>272</v>
      </c>
      <c r="C50" s="1345" t="s">
        <v>273</v>
      </c>
      <c r="D50" s="1345" t="s">
        <v>522</v>
      </c>
      <c r="E50" s="2278"/>
      <c r="F50" s="2278"/>
      <c r="G50" s="2278"/>
      <c r="H50" s="2278"/>
      <c r="I50" s="2279" t="str">
        <f>S49&amp;".1"</f>
        <v>.1</v>
      </c>
      <c r="J50" s="1345"/>
      <c r="K50" s="1345"/>
      <c r="L50" s="1348" t="s">
        <v>398</v>
      </c>
      <c r="M50" s="512"/>
      <c r="N50" s="512"/>
      <c r="O50" s="512"/>
      <c r="P50" s="2281">
        <v>1</v>
      </c>
      <c r="Q50" s="1483"/>
      <c r="R50" s="358"/>
      <c r="S50" s="1044"/>
      <c r="T50" s="1385"/>
      <c r="U50" s="1386"/>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387"/>
      <c r="BE50" s="502"/>
      <c r="BF50" s="502" t="str">
        <f>IF(T50="","",T50)</f>
        <v/>
      </c>
      <c r="BG50" s="502"/>
      <c r="BH50" s="502"/>
      <c r="BI50" s="513">
        <v>0</v>
      </c>
    </row>
    <row s="1644" customFormat="1" customHeight="1" ht="0">
      <c r="A51" s="1345" t="s">
        <v>271</v>
      </c>
      <c r="B51" s="1345" t="s">
        <v>272</v>
      </c>
      <c r="C51" s="1345" t="s">
        <v>273</v>
      </c>
      <c r="D51" s="1345" t="s">
        <v>522</v>
      </c>
      <c r="E51" s="2278"/>
      <c r="F51" s="2278"/>
      <c r="G51" s="2278"/>
      <c r="H51" s="2278"/>
      <c r="I51" s="2280"/>
      <c r="J51" s="2279" t="str">
        <f>S49&amp;".1"</f>
        <v>.1</v>
      </c>
      <c r="K51" s="1345"/>
      <c r="L51" s="1348"/>
      <c r="M51" s="512"/>
      <c r="N51" s="512"/>
      <c r="O51" s="512"/>
      <c r="P51" s="2281"/>
      <c r="Q51" s="2281">
        <v>1</v>
      </c>
      <c r="R51" s="359"/>
      <c r="S51" s="1044"/>
      <c r="T51" s="1401"/>
      <c r="U51" s="1386"/>
      <c r="V51" s="2320"/>
      <c r="W51" s="2320"/>
      <c r="X51" s="2320"/>
      <c r="Y51" s="2320"/>
      <c r="Z51" s="2320"/>
      <c r="AA51" s="2320"/>
      <c r="AB51" s="2320"/>
      <c r="AC51" s="2321"/>
      <c r="AD51" s="2319"/>
      <c r="AE51" s="2320"/>
      <c r="AF51" s="2320"/>
      <c r="AG51" s="2320"/>
      <c r="AH51" s="2320"/>
      <c r="AI51" s="2320"/>
      <c r="AJ51" s="2320"/>
      <c r="AK51" s="2320"/>
      <c r="AL51" s="2320"/>
      <c r="AM51" s="2320"/>
      <c r="AN51" s="2389"/>
      <c r="AO51" s="2389"/>
      <c r="AP51" s="2320"/>
      <c r="AQ51" s="2320"/>
      <c r="AR51" s="2320"/>
      <c r="AS51" s="2320"/>
      <c r="AT51" s="2320"/>
      <c r="AU51" s="2320"/>
      <c r="AV51" s="2320"/>
      <c r="AW51" s="2320"/>
      <c r="AX51" s="2320"/>
      <c r="AY51" s="2320"/>
      <c r="AZ51" s="2320"/>
      <c r="BA51" s="2320"/>
      <c r="BB51" s="2321"/>
      <c r="BC51" s="1387"/>
      <c r="BE51" s="502"/>
      <c r="BF51" s="502" t="str">
        <f>IF(T51="","",T51)</f>
        <v/>
      </c>
      <c r="BG51" s="502"/>
      <c r="BH51" s="502"/>
      <c r="BI51" s="513">
        <v>0</v>
      </c>
    </row>
    <row customHeight="1" ht="11.549999999999999">
      <c r="A52" s="1365" t="s">
        <v>271</v>
      </c>
      <c r="B52" s="1365" t="s">
        <v>272</v>
      </c>
      <c r="C52" s="1365" t="s">
        <v>273</v>
      </c>
      <c r="D52" s="1365" t="s">
        <v>522</v>
      </c>
      <c r="E52" s="2278"/>
      <c r="F52" s="2278"/>
      <c r="G52" s="2278"/>
      <c r="H52" s="2278"/>
      <c r="I52" s="2280"/>
      <c r="J52" s="2280"/>
      <c r="K52" s="2279" t="str">
        <f>S48&amp;".1"</f>
        <v>...1</v>
      </c>
      <c r="L52" s="1366"/>
      <c r="P52" s="2281"/>
      <c r="Q52" s="2281"/>
      <c r="R52" s="359">
        <v>1</v>
      </c>
      <c r="S52" s="2361" t="str">
        <f>$K52</f>
        <v>...1</v>
      </c>
      <c r="T52" s="2383"/>
      <c r="U52" s="302"/>
      <c r="V52" s="753"/>
      <c r="W52" s="1259"/>
      <c r="X52" s="753"/>
      <c r="Y52" s="1259"/>
      <c r="Z52" s="1735"/>
      <c r="AA52" s="1471" t="s">
        <v>65</v>
      </c>
      <c r="AB52" s="1735"/>
      <c r="AC52" s="1471" t="s">
        <v>65</v>
      </c>
      <c r="AD52" s="2215" t="s">
        <v>65</v>
      </c>
      <c r="AE52" s="2357"/>
      <c r="AF52" s="2228">
        <v>1</v>
      </c>
      <c r="AG52" s="2382"/>
      <c r="AH52" s="2150" t="s">
        <v>65</v>
      </c>
      <c r="AI52" s="2357"/>
      <c r="AJ52" s="2228">
        <v>1</v>
      </c>
      <c r="AK52" s="2371" t="s">
        <v>22</v>
      </c>
      <c r="AL52" s="2150" t="s">
        <v>65</v>
      </c>
      <c r="AM52" s="2200"/>
      <c r="AN52" s="2228">
        <v>1</v>
      </c>
      <c r="AO52" s="2386"/>
      <c r="AP52" s="2387" t="s">
        <v>65</v>
      </c>
      <c r="AQ52" s="313"/>
      <c r="AR52" s="1488">
        <v>1</v>
      </c>
      <c r="AS52" s="1494" t="s">
        <v>22</v>
      </c>
      <c r="AT52" s="753"/>
      <c r="AU52" s="1259"/>
      <c r="AV52" s="753"/>
      <c r="AW52" s="1259"/>
      <c r="AX52" s="1735"/>
      <c r="AY52" s="1471" t="s">
        <v>65</v>
      </c>
      <c r="AZ52" s="1735"/>
      <c r="BA52" s="1471" t="s">
        <v>65</v>
      </c>
      <c r="BB52" s="1350"/>
      <c r="BC52" s="2307" t="s">
        <v>492</v>
      </c>
      <c r="BE52" s="502"/>
      <c r="BF52" s="502" t="str">
        <f>IF(T52="","",T52)</f>
        <v/>
      </c>
      <c r="BG52" s="502"/>
      <c r="BH52" s="502"/>
      <c r="BI52" s="1157">
        <v>11</v>
      </c>
    </row>
    <row customHeight="1" ht="11.549999999999999">
      <c r="A53" s="1365"/>
      <c r="B53" s="1365"/>
      <c r="C53" s="1365"/>
      <c r="D53" s="1365"/>
      <c r="E53" s="2278"/>
      <c r="F53" s="2278"/>
      <c r="G53" s="2278"/>
      <c r="H53" s="2278"/>
      <c r="I53" s="2280"/>
      <c r="J53" s="2280"/>
      <c r="K53" s="2279"/>
      <c r="L53" s="1366"/>
      <c r="P53" s="2281"/>
      <c r="Q53" s="2281"/>
      <c r="R53" s="359"/>
      <c r="S53" s="2362"/>
      <c r="T53" s="2384"/>
      <c r="U53" s="302"/>
      <c r="V53" s="1395"/>
      <c r="W53" s="1498"/>
      <c r="X53" s="1395"/>
      <c r="Y53" s="1498"/>
      <c r="Z53" s="1395"/>
      <c r="AA53" s="1395"/>
      <c r="AB53" s="1395"/>
      <c r="AC53" s="1395"/>
      <c r="AD53" s="2216"/>
      <c r="AE53" s="2357"/>
      <c r="AF53" s="2228"/>
      <c r="AG53" s="2382"/>
      <c r="AH53" s="2150"/>
      <c r="AI53" s="2357"/>
      <c r="AJ53" s="2228"/>
      <c r="AK53" s="2371"/>
      <c r="AL53" s="2150"/>
      <c r="AM53" s="2208"/>
      <c r="AN53" s="2228"/>
      <c r="AO53" s="2386"/>
      <c r="AP53" s="2388"/>
      <c r="AQ53" s="318"/>
      <c r="AR53" s="418"/>
      <c r="AS53" s="418" t="s">
        <v>493</v>
      </c>
      <c r="AT53" s="1395"/>
      <c r="AU53" s="1498"/>
      <c r="AV53" s="1395"/>
      <c r="AW53" s="1498"/>
      <c r="AX53" s="1395"/>
      <c r="AY53" s="1395"/>
      <c r="AZ53" s="1395"/>
      <c r="BA53" s="1395"/>
      <c r="BB53" s="1399"/>
      <c r="BC53" s="2308"/>
      <c r="BE53" s="502"/>
      <c r="BF53" s="502"/>
      <c r="BG53" s="502"/>
      <c r="BH53" s="502"/>
      <c r="BI53" s="1157">
        <v>11</v>
      </c>
    </row>
    <row customHeight="1" ht="11.549999999999999">
      <c r="A54" s="1365" t="s">
        <v>271</v>
      </c>
      <c r="B54" s="1365"/>
      <c r="C54" s="1365"/>
      <c r="D54" s="1365"/>
      <c r="E54" s="2278"/>
      <c r="F54" s="2278"/>
      <c r="G54" s="2278"/>
      <c r="H54" s="2278"/>
      <c r="I54" s="2280"/>
      <c r="J54" s="2280"/>
      <c r="K54" s="2279"/>
      <c r="L54" s="1366"/>
      <c r="P54" s="2281"/>
      <c r="Q54" s="2281"/>
      <c r="R54" s="359"/>
      <c r="S54" s="2362"/>
      <c r="T54" s="2384"/>
      <c r="U54" s="302"/>
      <c r="V54" s="1395"/>
      <c r="W54" s="1498"/>
      <c r="X54" s="1395"/>
      <c r="Y54" s="1498"/>
      <c r="Z54" s="1395"/>
      <c r="AA54" s="1395"/>
      <c r="AB54" s="1395"/>
      <c r="AC54" s="1395"/>
      <c r="AD54" s="2216"/>
      <c r="AE54" s="2357"/>
      <c r="AF54" s="2228"/>
      <c r="AG54" s="2382"/>
      <c r="AH54" s="2150"/>
      <c r="AI54" s="2357"/>
      <c r="AJ54" s="2228"/>
      <c r="AK54" s="2371"/>
      <c r="AL54" s="2150"/>
      <c r="AM54" s="318"/>
      <c r="AN54" s="1502"/>
      <c r="AO54" s="1502" t="s">
        <v>515</v>
      </c>
      <c r="AP54" s="418"/>
      <c r="AQ54" s="418"/>
      <c r="AR54" s="418"/>
      <c r="AS54" s="1395"/>
      <c r="AT54" s="1395"/>
      <c r="AU54" s="1498"/>
      <c r="AV54" s="1395"/>
      <c r="AW54" s="1498"/>
      <c r="AX54" s="1395"/>
      <c r="AY54" s="1395"/>
      <c r="AZ54" s="1395"/>
      <c r="BA54" s="1395"/>
      <c r="BB54" s="1399"/>
      <c r="BC54" s="2308"/>
      <c r="BE54" s="502"/>
      <c r="BF54" s="502"/>
      <c r="BG54" s="502"/>
      <c r="BH54" s="502"/>
      <c r="BI54" s="1157">
        <v>11</v>
      </c>
    </row>
    <row customHeight="1" ht="11.549999999999999">
      <c r="A55" s="1365" t="s">
        <v>271</v>
      </c>
      <c r="B55" s="1365"/>
      <c r="C55" s="1365"/>
      <c r="D55" s="1365"/>
      <c r="E55" s="2278"/>
      <c r="F55" s="2278"/>
      <c r="G55" s="2278"/>
      <c r="H55" s="2278"/>
      <c r="I55" s="2280"/>
      <c r="J55" s="2280"/>
      <c r="K55" s="2279"/>
      <c r="L55" s="1366"/>
      <c r="P55" s="2281"/>
      <c r="Q55" s="2281"/>
      <c r="R55" s="359"/>
      <c r="S55" s="2362"/>
      <c r="T55" s="2384"/>
      <c r="U55" s="302"/>
      <c r="V55" s="1395"/>
      <c r="W55" s="1498"/>
      <c r="X55" s="1395"/>
      <c r="Y55" s="1498"/>
      <c r="Z55" s="1395"/>
      <c r="AA55" s="1395"/>
      <c r="AB55" s="1395"/>
      <c r="AC55" s="1395"/>
      <c r="AD55" s="2216"/>
      <c r="AE55" s="2357"/>
      <c r="AF55" s="2228"/>
      <c r="AG55" s="2382"/>
      <c r="AH55" s="2150"/>
      <c r="AI55" s="296"/>
      <c r="AJ55" s="417"/>
      <c r="AK55" s="315" t="s">
        <v>516</v>
      </c>
      <c r="AL55" s="1395"/>
      <c r="AM55" s="1395"/>
      <c r="AN55" s="1395"/>
      <c r="AO55" s="1395"/>
      <c r="AP55" s="1395"/>
      <c r="AQ55" s="1395"/>
      <c r="AR55" s="1395"/>
      <c r="AS55" s="1395"/>
      <c r="AT55" s="1395"/>
      <c r="AU55" s="1498"/>
      <c r="AV55" s="1395"/>
      <c r="AW55" s="1498"/>
      <c r="AX55" s="1395"/>
      <c r="AY55" s="1395"/>
      <c r="AZ55" s="1395"/>
      <c r="BA55" s="1395"/>
      <c r="BB55" s="1399"/>
      <c r="BC55" s="2308"/>
      <c r="BE55" s="502"/>
      <c r="BF55" s="502"/>
      <c r="BG55" s="502"/>
      <c r="BH55" s="502"/>
      <c r="BI55" s="1157">
        <v>11</v>
      </c>
    </row>
    <row customHeight="1" ht="11.549999999999999">
      <c r="A56" s="1365" t="s">
        <v>271</v>
      </c>
      <c r="B56" s="1365" t="s">
        <v>272</v>
      </c>
      <c r="C56" s="1365" t="s">
        <v>273</v>
      </c>
      <c r="D56" s="1365" t="s">
        <v>522</v>
      </c>
      <c r="E56" s="2278"/>
      <c r="F56" s="2278"/>
      <c r="G56" s="2278"/>
      <c r="H56" s="2278"/>
      <c r="I56" s="2280"/>
      <c r="J56" s="2280"/>
      <c r="K56" s="2279"/>
      <c r="L56" s="1366"/>
      <c r="P56" s="2281"/>
      <c r="Q56" s="2281"/>
      <c r="R56" s="359"/>
      <c r="S56" s="2363"/>
      <c r="T56" s="2385"/>
      <c r="U56" s="302"/>
      <c r="V56" s="1395"/>
      <c r="W56" s="1396" t="str">
        <f>Z52&amp;"-"&amp;AB52</f>
        <v>-</v>
      </c>
      <c r="X56" s="1395"/>
      <c r="Y56" s="1396" t="str">
        <f>AB52&amp;"-"&amp;AD52</f>
        <v>-да</v>
      </c>
      <c r="Z56" s="1395"/>
      <c r="AA56" s="1395"/>
      <c r="AB56" s="1395"/>
      <c r="AC56" s="1395"/>
      <c r="AD56" s="2155"/>
      <c r="AE56" s="314"/>
      <c r="AF56" s="316"/>
      <c r="AG56" s="418" t="s">
        <v>496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308"/>
      <c r="BE56" s="502"/>
      <c r="BF56" s="502" t="str">
        <f>IF(T56="","",T56)</f>
        <v/>
      </c>
      <c r="BG56" s="502"/>
      <c r="BH56" s="502"/>
      <c r="BI56" s="1157">
        <v>11</v>
      </c>
    </row>
    <row customHeight="1" ht="11.549999999999999">
      <c r="A57" s="1365" t="s">
        <v>271</v>
      </c>
      <c r="B57" s="1365" t="s">
        <v>272</v>
      </c>
      <c r="C57" s="1365" t="s">
        <v>273</v>
      </c>
      <c r="D57" s="1365" t="s">
        <v>522</v>
      </c>
      <c r="E57" s="2278"/>
      <c r="F57" s="2278"/>
      <c r="G57" s="2278"/>
      <c r="H57" s="2278"/>
      <c r="I57" s="2280"/>
      <c r="J57" s="2279"/>
      <c r="K57" s="1365"/>
      <c r="L57" s="1366"/>
      <c r="P57" s="2281"/>
      <c r="Q57" s="2281"/>
      <c r="R57" s="358"/>
      <c r="S57" s="1280"/>
      <c r="T57" s="289" t="s">
        <v>459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309"/>
      <c r="BE57" s="502"/>
      <c r="BF57" s="502" t="str">
        <f>IF(T57="","",T57)</f>
        <v>Добавить строку</v>
      </c>
      <c r="BG57" s="502"/>
      <c r="BH57" s="502"/>
      <c r="BI57" s="1157">
        <v>11</v>
      </c>
    </row>
    <row s="1644" customFormat="1" customHeight="1" ht="0">
      <c r="A58" s="1345" t="s">
        <v>271</v>
      </c>
      <c r="B58" s="1345" t="s">
        <v>272</v>
      </c>
      <c r="C58" s="1345" t="s">
        <v>273</v>
      </c>
      <c r="D58" s="1345" t="s">
        <v>522</v>
      </c>
      <c r="E58" s="2278"/>
      <c r="F58" s="2278"/>
      <c r="G58" s="2278"/>
      <c r="H58" s="2278"/>
      <c r="I58" s="2279"/>
      <c r="J58" s="1345"/>
      <c r="K58" s="1345"/>
      <c r="L58" s="1348"/>
      <c r="M58" s="512"/>
      <c r="N58" s="512"/>
      <c r="O58" s="512"/>
      <c r="P58" s="2281"/>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271</v>
      </c>
      <c r="B59" s="1345" t="s">
        <v>272</v>
      </c>
      <c r="C59" s="1345" t="s">
        <v>273</v>
      </c>
      <c r="D59" s="1345" t="s">
        <v>522</v>
      </c>
      <c r="E59" s="2278"/>
      <c r="F59" s="2278"/>
      <c r="G59" s="2278"/>
      <c r="H59" s="2277"/>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271</v>
      </c>
      <c r="B60" s="1345" t="s">
        <v>272</v>
      </c>
      <c r="C60" s="1345" t="s">
        <v>273</v>
      </c>
      <c r="D60" s="1316"/>
      <c r="E60" s="2278"/>
      <c r="F60" s="2278"/>
      <c r="G60" s="2277"/>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271</v>
      </c>
      <c r="B61" s="1345" t="s">
        <v>272</v>
      </c>
      <c r="C61" s="1316"/>
      <c r="D61" s="1316"/>
      <c r="E61" s="2278"/>
      <c r="F61" s="2277"/>
      <c r="G61" s="1316"/>
      <c r="H61" s="1316"/>
      <c r="I61" s="1316"/>
      <c r="J61" s="1316"/>
      <c r="K61" s="1316"/>
      <c r="L61" s="1496"/>
      <c r="M61" s="1323"/>
      <c r="N61" s="1323"/>
      <c r="P61" s="1318"/>
      <c r="Q61" s="1319"/>
      <c r="R61" s="1318"/>
      <c r="S61" s="1324"/>
      <c r="T61" s="1327" t="s">
        <v>410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271</v>
      </c>
      <c r="B62" s="1345"/>
      <c r="C62" s="1345"/>
      <c r="D62" s="1345"/>
      <c r="E62" s="2277"/>
      <c r="F62" s="1345"/>
      <c r="G62" s="1345"/>
      <c r="H62" s="1345"/>
      <c r="I62" s="1345"/>
      <c r="J62" s="1345"/>
      <c r="K62" s="1345"/>
      <c r="L62" s="1348"/>
      <c r="M62" s="1323"/>
      <c r="N62" s="1323"/>
      <c r="O62" s="520"/>
      <c r="P62" s="382"/>
      <c r="Q62" s="1346"/>
      <c r="R62" s="382"/>
      <c r="S62" s="1324"/>
      <c r="T62" s="1327" t="s">
        <v>411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439</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76"/>
      <c r="U65" s="2276"/>
      <c r="V65" s="2276"/>
      <c r="W65" s="2276"/>
      <c r="X65" s="2276"/>
      <c r="Y65" s="2276"/>
      <c r="Z65" s="2276"/>
      <c r="AA65" s="2276"/>
      <c r="AB65" s="2276"/>
      <c r="AC65" s="2276"/>
      <c r="AD65" s="2276"/>
      <c r="AE65" s="2276"/>
      <c r="AF65" s="2276"/>
      <c r="AG65" s="2276"/>
      <c r="AH65" s="2276"/>
      <c r="AI65" s="2276"/>
      <c r="AJ65" s="2276"/>
      <c r="AK65" s="2276"/>
      <c r="AL65" s="2276"/>
      <c r="AM65" s="2276"/>
      <c r="AN65" s="2276"/>
      <c r="AO65" s="2276"/>
      <c r="AP65" s="2276"/>
      <c r="AQ65" s="2276"/>
      <c r="AR65" s="2276"/>
      <c r="AS65" s="2276"/>
      <c r="AT65" s="2276"/>
      <c r="AU65" s="2276"/>
      <c r="AV65" s="2276"/>
      <c r="AW65" s="2276"/>
      <c r="AX65" s="2276"/>
      <c r="AY65" s="2276"/>
      <c r="AZ65" s="2276"/>
      <c r="BA65" s="2276"/>
      <c r="BB65" s="2276"/>
      <c r="BC65" s="2276"/>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76"/>
      <c r="U67" s="2276"/>
      <c r="V67" s="2276"/>
      <c r="W67" s="2276"/>
      <c r="X67" s="2276"/>
      <c r="Y67" s="2276"/>
      <c r="Z67" s="2276"/>
      <c r="AA67" s="2276"/>
      <c r="AB67" s="2276"/>
      <c r="AC67" s="2276"/>
      <c r="AD67" s="2276"/>
      <c r="AE67" s="2276"/>
      <c r="AF67" s="2276"/>
      <c r="AG67" s="2276"/>
      <c r="AH67" s="2276"/>
      <c r="AI67" s="2276"/>
      <c r="AJ67" s="2276"/>
      <c r="AK67" s="2276"/>
      <c r="AL67" s="2276"/>
      <c r="AM67" s="2276"/>
      <c r="AN67" s="2276"/>
      <c r="AO67" s="2276"/>
      <c r="AP67" s="2276"/>
      <c r="AQ67" s="2276"/>
      <c r="AR67" s="2276"/>
      <c r="AS67" s="2276"/>
      <c r="AT67" s="2276"/>
      <c r="AU67" s="2276"/>
      <c r="AV67" s="2276"/>
      <c r="AW67" s="2276"/>
      <c r="AX67" s="2276"/>
      <c r="AY67" s="2276"/>
      <c r="AZ67" s="2276"/>
      <c r="BA67" s="2276"/>
      <c r="BB67" s="2276"/>
      <c r="BC67" s="2276"/>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87968-AE28-7738-B338-E662FC2C46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95">
        <f>INDEX(PT_DIFFERENTIATION_NUM_NTAR,MATCH(A2,PT_DIFFERENTIATION_NTAR_ID,0))</f>
      </c>
      <c r="T2" s="300" t="s">
        <v>120</v>
      </c>
      <c r="U2" s="302"/>
      <c r="V2" s="2271"/>
      <c r="W2" s="2272"/>
      <c r="X2" s="2272"/>
      <c r="Y2" s="2272"/>
      <c r="Z2" s="2272"/>
      <c r="AA2" s="2272"/>
      <c r="AB2" s="2272"/>
      <c r="AC2" s="2272"/>
      <c r="AD2" s="2272"/>
      <c r="AE2" s="2272"/>
      <c r="AF2" s="2273"/>
      <c r="AG2" s="2271">
        <f>INDEX(PT_DIFFERENTIATION_NTAR,MATCH(A2,PT_DIFFERENTIATION_NTAR_ID,0))</f>
      </c>
      <c r="AH2" s="2272"/>
      <c r="AI2" s="2272"/>
      <c r="AJ2" s="2272"/>
      <c r="AK2" s="2272"/>
      <c r="AL2" s="2272"/>
      <c r="AM2" s="2272"/>
      <c r="AN2" s="2272"/>
      <c r="AO2" s="2272"/>
      <c r="AP2" s="2272"/>
      <c r="AQ2" s="2272"/>
      <c r="AR2" s="2273"/>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78"/>
      <c r="F3" s="2277">
        <v>1</v>
      </c>
      <c r="G3" s="1365"/>
      <c r="H3" s="1365"/>
      <c r="I3" s="1365"/>
      <c r="J3" s="1365"/>
      <c r="K3" s="1365"/>
      <c r="L3" s="1366"/>
      <c r="M3" s="1367"/>
      <c r="N3" s="1367"/>
      <c r="O3" s="1367"/>
      <c r="P3" s="1489"/>
      <c r="Q3" s="354"/>
      <c r="R3" s="355"/>
      <c r="S3" s="1495">
        <f>INDEX(PT_DIFFERENTIATION_NUM_TER,MATCH(B3,PT_DIFFERENTIATION_TER_ID,0))</f>
      </c>
      <c r="T3" s="310" t="s">
        <v>392</v>
      </c>
      <c r="U3" s="302"/>
      <c r="V3" s="2271"/>
      <c r="W3" s="2272"/>
      <c r="X3" s="2272"/>
      <c r="Y3" s="2272"/>
      <c r="Z3" s="2272"/>
      <c r="AA3" s="2272"/>
      <c r="AB3" s="2272"/>
      <c r="AC3" s="2272"/>
      <c r="AD3" s="2272"/>
      <c r="AE3" s="2272"/>
      <c r="AF3" s="2273"/>
      <c r="AG3" s="2271">
        <f>INDEX(PT_DIFFERENTIATION_TER,MATCH(B3,PT_DIFFERENTIATION_TER_ID,0))</f>
      </c>
      <c r="AH3" s="2272"/>
      <c r="AI3" s="2272"/>
      <c r="AJ3" s="2272"/>
      <c r="AK3" s="2272"/>
      <c r="AL3" s="2272"/>
      <c r="AM3" s="2272"/>
      <c r="AN3" s="2272"/>
      <c r="AO3" s="2272"/>
      <c r="AP3" s="2272"/>
      <c r="AQ3" s="2272"/>
      <c r="AR3" s="2273"/>
      <c r="AS3" s="1260" t="s">
        <v>393</v>
      </c>
      <c r="AU3" s="502"/>
      <c r="AV3" s="502" t="str">
        <f>IF(T3="","",T3)</f>
        <v>Территория действия тарифа</v>
      </c>
      <c r="AW3" s="502"/>
      <c r="AX3" s="502"/>
      <c r="AY3" s="1157">
        <v>0</v>
      </c>
    </row>
    <row customHeight="1" ht="23.25" hidden="1">
      <c r="A4" s="1365"/>
      <c r="B4" s="1365"/>
      <c r="C4" s="1365"/>
      <c r="D4" s="1365"/>
      <c r="E4" s="2278"/>
      <c r="F4" s="2278"/>
      <c r="G4" s="2277">
        <v>1</v>
      </c>
      <c r="H4" s="1365"/>
      <c r="I4" s="1365"/>
      <c r="J4" s="1365"/>
      <c r="K4" s="1365"/>
      <c r="L4" s="1366"/>
      <c r="M4" s="1367"/>
      <c r="N4" s="1367"/>
      <c r="O4" s="1367"/>
      <c r="P4" s="356"/>
      <c r="Q4" s="354"/>
      <c r="R4" s="355"/>
      <c r="S4" s="1495">
        <f>INDEX(PT_DIFFERENTIATION_NUM_CS,MATCH(C4,PT_DIFFERENTIATION_CS_ID,0))</f>
      </c>
      <c r="T4" s="311" t="s">
        <v>523</v>
      </c>
      <c r="U4" s="302"/>
      <c r="V4" s="2271"/>
      <c r="W4" s="2272"/>
      <c r="X4" s="2272"/>
      <c r="Y4" s="2272"/>
      <c r="Z4" s="2272"/>
      <c r="AA4" s="2272"/>
      <c r="AB4" s="2272"/>
      <c r="AC4" s="2272"/>
      <c r="AD4" s="2272"/>
      <c r="AE4" s="2272"/>
      <c r="AF4" s="2273"/>
      <c r="AG4" s="2271">
        <f>INDEX(PT_DIFFERENTIATION_CS,MATCH(C4,PT_DIFFERENTIATION_CS_ID,0))</f>
      </c>
      <c r="AH4" s="2272"/>
      <c r="AI4" s="2272"/>
      <c r="AJ4" s="2272"/>
      <c r="AK4" s="2272"/>
      <c r="AL4" s="2272"/>
      <c r="AM4" s="2272"/>
      <c r="AN4" s="2272"/>
      <c r="AO4" s="2272"/>
      <c r="AP4" s="2272"/>
      <c r="AQ4" s="2272"/>
      <c r="AR4" s="2273"/>
      <c r="AS4" s="1260" t="s">
        <v>524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78"/>
      <c r="F5" s="2278"/>
      <c r="G5" s="2278"/>
      <c r="H5" s="2278"/>
      <c r="I5" s="2279">
        <f>S4&amp;".1"</f>
      </c>
      <c r="J5" s="1365"/>
      <c r="K5" s="1365"/>
      <c r="L5" s="1366"/>
      <c r="P5" s="2281">
        <v>1</v>
      </c>
      <c r="Q5" s="1483"/>
      <c r="R5" s="358"/>
      <c r="S5" s="1495">
        <f>$I5</f>
      </c>
      <c r="T5" s="287" t="s">
        <v>476</v>
      </c>
      <c r="U5" s="302"/>
      <c r="V5" s="2375"/>
      <c r="W5" s="2376"/>
      <c r="X5" s="2376"/>
      <c r="Y5" s="2376"/>
      <c r="Z5" s="2376"/>
      <c r="AA5" s="2376"/>
      <c r="AB5" s="2376"/>
      <c r="AC5" s="2376"/>
      <c r="AD5" s="2376"/>
      <c r="AE5" s="2376"/>
      <c r="AF5" s="2377"/>
      <c r="AG5" s="2378"/>
      <c r="AH5" s="2379"/>
      <c r="AI5" s="2379"/>
      <c r="AJ5" s="2379"/>
      <c r="AK5" s="2379"/>
      <c r="AL5" s="2379"/>
      <c r="AM5" s="2379"/>
      <c r="AN5" s="2379"/>
      <c r="AO5" s="2379"/>
      <c r="AP5" s="2379"/>
      <c r="AQ5" s="2379"/>
      <c r="AR5" s="2380"/>
      <c r="AS5" s="1260" t="s">
        <v>477</v>
      </c>
      <c r="AU5" s="502"/>
      <c r="AV5" s="502" t="str">
        <f>IF(T5="","",T5)</f>
        <v>Наименование признака дифференциации</v>
      </c>
      <c r="AW5" s="502"/>
      <c r="AX5" s="502"/>
      <c r="AY5" s="1157">
        <v>0</v>
      </c>
    </row>
    <row customHeight="1" ht="23.25" hidden="1">
      <c r="A6" s="1365"/>
      <c r="B6" s="1365"/>
      <c r="C6" s="1365"/>
      <c r="D6" s="1365"/>
      <c r="E6" s="2278"/>
      <c r="F6" s="2278"/>
      <c r="G6" s="2278"/>
      <c r="H6" s="2278"/>
      <c r="I6" s="2280"/>
      <c r="J6" s="2279">
        <f>I5&amp;".1"</f>
      </c>
      <c r="K6" s="1365"/>
      <c r="L6" s="1366" t="s">
        <v>401</v>
      </c>
      <c r="P6" s="2281"/>
      <c r="Q6" s="2281">
        <v>1</v>
      </c>
      <c r="R6" s="359"/>
      <c r="S6" s="1495">
        <f>$J6</f>
      </c>
      <c r="T6" s="288" t="s">
        <v>402</v>
      </c>
      <c r="U6" s="302"/>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309" t="s">
        <v>478</v>
      </c>
      <c r="AU6" s="502"/>
      <c r="AV6" s="502" t="str">
        <f>IF(T6="","",T6)</f>
        <v>Группа потребителей</v>
      </c>
      <c r="AW6" s="502"/>
      <c r="AX6" s="502"/>
      <c r="AY6" s="1157">
        <v>0</v>
      </c>
    </row>
    <row customHeight="1" ht="23.25" hidden="1">
      <c r="A7" s="1365"/>
      <c r="B7" s="1365"/>
      <c r="C7" s="1365"/>
      <c r="D7" s="1365"/>
      <c r="E7" s="2278"/>
      <c r="F7" s="2278"/>
      <c r="G7" s="2278"/>
      <c r="H7" s="2278"/>
      <c r="I7" s="2280"/>
      <c r="J7" s="2280"/>
      <c r="K7" s="2279">
        <f>J6&amp;".1"</f>
      </c>
      <c r="L7" s="1366"/>
      <c r="P7" s="2281"/>
      <c r="Q7" s="2281"/>
      <c r="R7" s="359">
        <v>1</v>
      </c>
      <c r="S7" s="1495">
        <f>$K7</f>
      </c>
      <c r="T7" s="1439"/>
      <c r="U7" s="302"/>
      <c r="V7" s="753"/>
      <c r="W7" s="753"/>
      <c r="X7" s="753"/>
      <c r="Y7" s="753"/>
      <c r="Z7" s="753"/>
      <c r="AA7" s="753"/>
      <c r="AB7" s="753"/>
      <c r="AC7" s="2282"/>
      <c r="AD7" s="2150" t="s">
        <v>65</v>
      </c>
      <c r="AE7" s="2282"/>
      <c r="AF7" s="2150" t="s">
        <v>65</v>
      </c>
      <c r="AG7" s="753"/>
      <c r="AH7" s="753"/>
      <c r="AI7" s="753"/>
      <c r="AJ7" s="753"/>
      <c r="AK7" s="753"/>
      <c r="AL7" s="753"/>
      <c r="AM7" s="753"/>
      <c r="AN7" s="2282"/>
      <c r="AO7" s="2150" t="s">
        <v>65</v>
      </c>
      <c r="AP7" s="2284"/>
      <c r="AQ7" s="2150" t="s">
        <v>65</v>
      </c>
      <c r="AR7" s="1440"/>
      <c r="AS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78"/>
      <c r="F8" s="2278"/>
      <c r="G8" s="2278"/>
      <c r="H8" s="2278"/>
      <c r="I8" s="2280"/>
      <c r="J8" s="2280"/>
      <c r="K8" s="2279"/>
      <c r="L8" s="1366"/>
      <c r="P8" s="2281"/>
      <c r="Q8" s="2281"/>
      <c r="R8" s="359"/>
      <c r="S8" s="1492"/>
      <c r="T8" s="302"/>
      <c r="U8" s="302"/>
      <c r="V8" s="327"/>
      <c r="W8" s="327"/>
      <c r="X8" s="327"/>
      <c r="Y8" s="327"/>
      <c r="Z8" s="327"/>
      <c r="AA8" s="327"/>
      <c r="AB8" s="327"/>
      <c r="AC8" s="2283"/>
      <c r="AD8" s="2150"/>
      <c r="AE8" s="2283"/>
      <c r="AF8" s="2150"/>
      <c r="AG8" s="327"/>
      <c r="AH8" s="327"/>
      <c r="AI8" s="327"/>
      <c r="AJ8" s="327"/>
      <c r="AK8" s="327"/>
      <c r="AL8" s="327"/>
      <c r="AM8" s="327"/>
      <c r="AN8" s="2283"/>
      <c r="AO8" s="2150"/>
      <c r="AP8" s="2285"/>
      <c r="AQ8" s="2150"/>
      <c r="AR8" s="1441"/>
      <c r="AS8" s="2381"/>
      <c r="AU8" s="502"/>
      <c r="AV8" s="502" t="str">
        <f>IF(T8="","",T8)</f>
        <v/>
      </c>
      <c r="AW8" s="502"/>
      <c r="AX8" s="502"/>
      <c r="AY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480</v>
      </c>
      <c r="AU9" s="502"/>
      <c r="AV9" s="502" t="str">
        <f>IF(T9="","",T9)</f>
        <v>Добавить значение признака дифференциации</v>
      </c>
      <c r="AW9" s="502"/>
      <c r="AX9" s="502"/>
      <c r="AY9" s="1157">
        <v>0</v>
      </c>
    </row>
    <row customHeight="1" ht="21" hidden="1">
      <c r="A10" s="1365"/>
      <c r="B10" s="1365"/>
      <c r="C10" s="1365"/>
      <c r="D10" s="1365"/>
      <c r="E10" s="2278"/>
      <c r="F10" s="2278"/>
      <c r="G10" s="2278"/>
      <c r="H10" s="2278"/>
      <c r="I10" s="2279"/>
      <c r="J10" s="1365"/>
      <c r="K10" s="1365"/>
      <c r="L10" s="1366"/>
      <c r="P10" s="2281"/>
      <c r="Q10" s="1483"/>
      <c r="R10" s="358"/>
      <c r="S10" s="1280"/>
      <c r="T10" s="367" t="s">
        <v>407</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78"/>
      <c r="F12" s="2277"/>
      <c r="G12" s="1316"/>
      <c r="H12" s="1316"/>
      <c r="I12" s="1316"/>
      <c r="J12" s="1316"/>
      <c r="K12" s="1316"/>
      <c r="L12" s="1496"/>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75"/>
      <c r="AO15" s="2274" t="s">
        <v>65</v>
      </c>
      <c r="AP15" s="2275"/>
      <c r="AQ15" s="2274" t="s">
        <v>65</v>
      </c>
      <c r="AY15" s="1157">
        <v>0</v>
      </c>
    </row>
    <row customHeight="1" ht="14.25" hidden="1">
      <c r="AG16" s="1362"/>
      <c r="AH16" s="1362"/>
      <c r="AI16" s="1362"/>
      <c r="AJ16" s="1362"/>
      <c r="AK16" s="1362"/>
      <c r="AL16" s="1362"/>
      <c r="AM16" s="1362"/>
      <c r="AN16" s="2274"/>
      <c r="AO16" s="2274"/>
      <c r="AP16" s="2274"/>
      <c r="AQ16" s="2274"/>
      <c r="AY16" s="1157">
        <v>0</v>
      </c>
    </row>
    <row customHeight="1" ht="14.25" hidden="1">
      <c r="AQ17" s="329"/>
      <c r="AY17" s="1157">
        <v>0</v>
      </c>
    </row>
    <row s="1368" customFormat="1" customHeight="1" ht="22.5" hidden="1">
      <c r="L18" s="1480"/>
      <c r="M18" s="1364"/>
      <c r="N18" s="1364"/>
      <c r="O18" s="1369" t="s">
        <v>412</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413</v>
      </c>
      <c r="P20" s="1364"/>
      <c r="Q20" s="1444"/>
      <c r="R20" s="1444"/>
      <c r="S20" s="731"/>
      <c r="T20" s="1162" t="s">
        <v>414</v>
      </c>
      <c r="W20" s="1368"/>
      <c r="X20" s="1368"/>
      <c r="Y20" s="1368"/>
      <c r="Z20" s="1368"/>
      <c r="AA20" s="1368"/>
      <c r="AB20" s="1368"/>
      <c r="AD20" s="188" t="s">
        <v>415</v>
      </c>
      <c r="AF20" s="188" t="s">
        <v>416</v>
      </c>
      <c r="AG20" s="1162" t="s">
        <v>414</v>
      </c>
      <c r="AH20" s="1368"/>
      <c r="AI20" s="1368"/>
      <c r="AJ20" s="1368"/>
      <c r="AK20" s="1368"/>
      <c r="AL20" s="1368"/>
      <c r="AO20" s="188" t="s">
        <v>417</v>
      </c>
      <c r="AQ20" s="188" t="s">
        <v>416</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3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0"/>
      <c r="U24" s="2310"/>
      <c r="V24" s="2310"/>
      <c r="W24" s="2310"/>
      <c r="X24" s="2310"/>
      <c r="Y24" s="2310"/>
      <c r="Z24" s="2310"/>
      <c r="AA24" s="2310"/>
      <c r="AB24" s="2310"/>
      <c r="AC24" s="2310"/>
      <c r="AD24" s="2310"/>
      <c r="AE24" s="2310"/>
      <c r="AF24" s="2310"/>
      <c r="AG24" s="2310"/>
      <c r="AH24" s="2310"/>
      <c r="AI24" s="2310"/>
      <c r="AJ24" s="2310"/>
      <c r="AK24" s="2310"/>
      <c r="AL24" s="2310"/>
      <c r="AM24" s="2310"/>
      <c r="AN24" s="2310"/>
      <c r="AO24" s="2310"/>
      <c r="AP24" s="2310"/>
      <c r="AQ24" s="1245"/>
      <c r="AY24" s="1157">
        <v>25</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2311"/>
      <c r="AJ25" s="2311"/>
      <c r="AK25" s="2311"/>
      <c r="AL25" s="2311"/>
      <c r="AM25" s="2311"/>
      <c r="AN25" s="2311"/>
      <c r="AO25" s="2311"/>
      <c r="AP25" s="231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2270"/>
      <c r="AC27" s="2270"/>
      <c r="AD27" s="2270"/>
      <c r="AE27" s="2270"/>
      <c r="AF27" s="328"/>
      <c r="AG27" s="2270" t="str">
        <f>IF(TITLE_NAME_OR_PR_CHANGE="",IF(TITLE_NAME_OR_PR="","",TITLE_NAME_OR_PR),TITLE_NAME_OR_PR_CHANGE)</f>
        <v/>
      </c>
      <c r="AH27" s="2270"/>
      <c r="AI27" s="2270"/>
      <c r="AJ27" s="2270"/>
      <c r="AK27" s="2270"/>
      <c r="AL27" s="2270"/>
      <c r="AM27" s="2270"/>
      <c r="AN27" s="2270"/>
      <c r="AO27" s="2270"/>
      <c r="AP27" s="2270"/>
      <c r="AQ27" s="328"/>
      <c r="AR27" s="328"/>
      <c r="AS27" s="282"/>
      <c r="AT27" s="370"/>
      <c r="AU27" s="370"/>
      <c r="AV27" s="370"/>
      <c r="AW27" s="370"/>
      <c r="AX27" s="370"/>
      <c r="AY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2269"/>
      <c r="AC28" s="2269"/>
      <c r="AD28" s="2269"/>
      <c r="AE28" s="2269"/>
      <c r="AF28" s="328"/>
      <c r="AG28" s="2269" t="str">
        <f>IF(TITLE_DATE_PR_CHANGE="",IF(TITLE_DATE_PR="","",TITLE_DATE_PR),TITLE_DATE_PR_CHANGE)</f>
        <v/>
      </c>
      <c r="AH28" s="2269"/>
      <c r="AI28" s="2269"/>
      <c r="AJ28" s="2269"/>
      <c r="AK28" s="2269"/>
      <c r="AL28" s="2269"/>
      <c r="AM28" s="2269"/>
      <c r="AN28" s="2269"/>
      <c r="AO28" s="2269"/>
      <c r="AP28" s="2269"/>
      <c r="AQ28" s="328"/>
      <c r="AR28" s="328"/>
      <c r="AS28" s="282"/>
      <c r="AT28" s="370"/>
      <c r="AU28" s="370"/>
      <c r="AV28" s="370"/>
      <c r="AW28" s="370"/>
      <c r="AX28" s="370"/>
      <c r="AY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2270"/>
      <c r="AC29" s="2270"/>
      <c r="AD29" s="2270"/>
      <c r="AE29" s="2270"/>
      <c r="AF29" s="328"/>
      <c r="AG29" s="2270" t="str">
        <f>IF(TITLE_NUMBER_PR_CHANGE="",IF(TITLE_NUMBER_PR="","",TITLE_NUMBER_PR),TITLE_NUMBER_PR_CHANGE)</f>
        <v/>
      </c>
      <c r="AH29" s="2270"/>
      <c r="AI29" s="2270"/>
      <c r="AJ29" s="2270"/>
      <c r="AK29" s="2270"/>
      <c r="AL29" s="2270"/>
      <c r="AM29" s="2270"/>
      <c r="AN29" s="2270"/>
      <c r="AO29" s="2270"/>
      <c r="AP29" s="2270"/>
      <c r="AQ29" s="328"/>
      <c r="AR29" s="328"/>
      <c r="AS29" s="282"/>
      <c r="AT29" s="370"/>
      <c r="AU29" s="370"/>
      <c r="AV29" s="370"/>
      <c r="AW29" s="370"/>
      <c r="AX29" s="370"/>
      <c r="AY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2270"/>
      <c r="AC30" s="2270"/>
      <c r="AD30" s="2270"/>
      <c r="AE30" s="2270"/>
      <c r="AF30" s="328"/>
      <c r="AG30" s="2270" t="str">
        <f>IF(TITLE_IST_PUB_CHANGE="",IF(TITLE_IST_PUB="","",TITLE_IST_PUB),TITLE_IST_PUB_CHANGE)</f>
        <v/>
      </c>
      <c r="AH30" s="2270"/>
      <c r="AI30" s="2270"/>
      <c r="AJ30" s="2270"/>
      <c r="AK30" s="2270"/>
      <c r="AL30" s="2270"/>
      <c r="AM30" s="2270"/>
      <c r="AN30" s="2270"/>
      <c r="AO30" s="2270"/>
      <c r="AP30" s="2270"/>
      <c r="AQ30" s="328"/>
      <c r="AR30" s="328"/>
      <c r="AS30" s="282"/>
      <c r="AT30" s="370"/>
      <c r="AU30" s="370"/>
      <c r="AV30" s="370"/>
      <c r="AW30" s="370"/>
      <c r="AX30" s="370"/>
      <c r="AY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2269"/>
      <c r="AC32" s="2269"/>
      <c r="AD32" s="2269"/>
      <c r="AE32" s="2269"/>
      <c r="AF32" s="328"/>
      <c r="AG32" s="2269" t="str">
        <f>IF(TITLE_DATE_PR_CHANGE="",IF(TITLE_DATE_PR="","",TITLE_DATE_PR),TITLE_DATE_PR_CHANGE)</f>
        <v/>
      </c>
      <c r="AH32" s="2269"/>
      <c r="AI32" s="2269"/>
      <c r="AJ32" s="2269"/>
      <c r="AK32" s="2269"/>
      <c r="AL32" s="2269"/>
      <c r="AM32" s="2269"/>
      <c r="AN32" s="2269"/>
      <c r="AO32" s="2269"/>
      <c r="AP32" s="2269"/>
      <c r="AQ32" s="328"/>
      <c r="AR32" s="328"/>
      <c r="AS32" s="282"/>
      <c r="AT32" s="370"/>
      <c r="AU32" s="370"/>
      <c r="AV32" s="370"/>
      <c r="AW32" s="370"/>
      <c r="AX32" s="370"/>
      <c r="AY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2270"/>
      <c r="AC33" s="2270"/>
      <c r="AD33" s="2270"/>
      <c r="AE33" s="2270"/>
      <c r="AF33" s="328"/>
      <c r="AG33" s="2270" t="str">
        <f>IF(TITLE_NUMBER_PR_CHANGE="",IF(TITLE_NUMBER_PR="","",TITLE_NUMBER_PR),TITLE_NUMBER_PR_CHANGE)</f>
        <v/>
      </c>
      <c r="AH33" s="2270"/>
      <c r="AI33" s="2270"/>
      <c r="AJ33" s="2270"/>
      <c r="AK33" s="2270"/>
      <c r="AL33" s="2270"/>
      <c r="AM33" s="2270"/>
      <c r="AN33" s="2270"/>
      <c r="AO33" s="2270"/>
      <c r="AP33" s="2270"/>
      <c r="AQ33" s="328"/>
      <c r="AR33" s="328"/>
      <c r="AS33" s="282"/>
      <c r="AT33" s="370"/>
      <c r="AU33" s="370"/>
      <c r="AV33" s="370"/>
      <c r="AW33" s="370"/>
      <c r="AX33" s="370"/>
      <c r="AY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418</v>
      </c>
      <c r="AG34" s="328"/>
      <c r="AH34" s="1637"/>
      <c r="AI34" s="1637"/>
      <c r="AJ34" s="1637"/>
      <c r="AK34" s="1637"/>
      <c r="AL34" s="1637"/>
      <c r="AM34" s="328"/>
      <c r="AN34" s="328"/>
      <c r="AO34" s="328"/>
      <c r="AP34" s="328"/>
      <c r="AQ34" s="280" t="s">
        <v>418</v>
      </c>
      <c r="AT34" s="370"/>
      <c r="AU34" s="370"/>
      <c r="AV34" s="370"/>
      <c r="AW34" s="370"/>
      <c r="AX34" s="370"/>
      <c r="AY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J35" s="2294"/>
      <c r="AK35" s="2294"/>
      <c r="AL35" s="2294"/>
      <c r="AM35" s="2294"/>
      <c r="AN35" s="2294"/>
      <c r="AO35" s="2294"/>
      <c r="AP35" s="2294"/>
      <c r="AQ35" s="2294"/>
      <c r="AY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c r="AL36" s="2140"/>
      <c r="AM36" s="2140"/>
      <c r="AN36" s="2140"/>
      <c r="AO36" s="2140"/>
      <c r="AP36" s="2140"/>
      <c r="AQ36" s="2140"/>
      <c r="AR36" s="2140"/>
      <c r="AS36" s="2140" t="s">
        <v>296</v>
      </c>
      <c r="AY36" s="1157">
        <v>14</v>
      </c>
    </row>
    <row customHeight="1" ht="14.699999999999998">
      <c r="Q37" s="378"/>
      <c r="R37" s="378"/>
      <c r="S37" s="2295" t="s">
        <v>88</v>
      </c>
      <c r="T37" s="2232" t="s">
        <v>419</v>
      </c>
      <c r="U37" s="303"/>
      <c r="V37" s="2296" t="s">
        <v>420</v>
      </c>
      <c r="W37" s="2318"/>
      <c r="X37" s="2318"/>
      <c r="Y37" s="2318"/>
      <c r="Z37" s="2318"/>
      <c r="AA37" s="2318"/>
      <c r="AB37" s="2318"/>
      <c r="AC37" s="2297"/>
      <c r="AD37" s="2297"/>
      <c r="AE37" s="2298"/>
      <c r="AF37" s="2299" t="s">
        <v>421</v>
      </c>
      <c r="AG37" s="2296" t="s">
        <v>420</v>
      </c>
      <c r="AH37" s="2297"/>
      <c r="AI37" s="2297"/>
      <c r="AJ37" s="2297"/>
      <c r="AK37" s="2297"/>
      <c r="AL37" s="2297"/>
      <c r="AM37" s="2297"/>
      <c r="AN37" s="2297"/>
      <c r="AO37" s="2297"/>
      <c r="AP37" s="2298"/>
      <c r="AQ37" s="2299" t="s">
        <v>422</v>
      </c>
      <c r="AR37" s="2302" t="s">
        <v>423</v>
      </c>
      <c r="AS37" s="2140"/>
      <c r="AY37" s="1157">
        <v>14</v>
      </c>
    </row>
    <row customHeight="1" ht="19.95">
      <c r="Q38" s="378"/>
      <c r="R38" s="378"/>
      <c r="S38" s="2295"/>
      <c r="T38" s="2232"/>
      <c r="U38" s="1033"/>
      <c r="V38" s="2390" t="s">
        <v>525</v>
      </c>
      <c r="W38" s="2391" t="s">
        <v>526</v>
      </c>
      <c r="X38" s="2391"/>
      <c r="Y38" s="2391"/>
      <c r="Z38" s="2391" t="s">
        <v>527</v>
      </c>
      <c r="AA38" s="2391"/>
      <c r="AB38" s="2391"/>
      <c r="AC38" s="2316" t="s">
        <v>427</v>
      </c>
      <c r="AD38" s="2341"/>
      <c r="AE38" s="2342"/>
      <c r="AF38" s="2300"/>
      <c r="AG38" s="2390" t="s">
        <v>525</v>
      </c>
      <c r="AH38" s="2391" t="s">
        <v>526</v>
      </c>
      <c r="AI38" s="2391"/>
      <c r="AJ38" s="2391"/>
      <c r="AK38" s="2391" t="s">
        <v>527</v>
      </c>
      <c r="AL38" s="2391"/>
      <c r="AM38" s="2391"/>
      <c r="AN38" s="2316" t="s">
        <v>427</v>
      </c>
      <c r="AO38" s="2341"/>
      <c r="AP38" s="2342"/>
      <c r="AQ38" s="2300"/>
      <c r="AR38" s="2303"/>
      <c r="AS38" s="2140"/>
      <c r="AY38" s="1157">
        <v>19</v>
      </c>
    </row>
    <row s="1637" customFormat="1" customHeight="1" ht="19.95">
      <c r="A39" s="1368"/>
      <c r="B39" s="1368"/>
      <c r="C39" s="1368"/>
      <c r="D39" s="1368"/>
      <c r="E39" s="1368"/>
      <c r="F39" s="1368"/>
      <c r="G39" s="1368"/>
      <c r="H39" s="1368"/>
      <c r="I39" s="1368"/>
      <c r="J39" s="1368"/>
      <c r="K39" s="1368"/>
      <c r="L39" s="1950"/>
      <c r="M39" s="1364"/>
      <c r="N39" s="1364"/>
      <c r="O39" s="1364"/>
      <c r="P39" s="1964"/>
      <c r="Q39" s="378"/>
      <c r="R39" s="378"/>
      <c r="S39" s="2295"/>
      <c r="T39" s="2232"/>
      <c r="U39" s="1033"/>
      <c r="V39" s="2390"/>
      <c r="W39" s="2391" t="s">
        <v>528</v>
      </c>
      <c r="X39" s="2391" t="s">
        <v>529</v>
      </c>
      <c r="Y39" s="2391"/>
      <c r="Z39" s="2391" t="s">
        <v>530</v>
      </c>
      <c r="AA39" s="2391" t="s">
        <v>529</v>
      </c>
      <c r="AB39" s="2391"/>
      <c r="AC39" s="2317"/>
      <c r="AD39" s="2343"/>
      <c r="AE39" s="2344"/>
      <c r="AF39" s="2300"/>
      <c r="AG39" s="2390"/>
      <c r="AH39" s="2391" t="s">
        <v>528</v>
      </c>
      <c r="AI39" s="2391" t="s">
        <v>529</v>
      </c>
      <c r="AJ39" s="2391"/>
      <c r="AK39" s="2391" t="s">
        <v>530</v>
      </c>
      <c r="AL39" s="2391" t="s">
        <v>529</v>
      </c>
      <c r="AM39" s="2391"/>
      <c r="AN39" s="2317"/>
      <c r="AO39" s="2343"/>
      <c r="AP39" s="2344"/>
      <c r="AQ39" s="2300"/>
      <c r="AR39" s="2303"/>
      <c r="AS39" s="2140"/>
      <c r="AT39" s="1638"/>
      <c r="AU39" s="1638"/>
      <c r="AV39" s="1638"/>
      <c r="AW39" s="1638"/>
      <c r="AX39" s="1638"/>
      <c r="AY39" s="1633">
        <v>19</v>
      </c>
    </row>
    <row customHeight="1" ht="61.949999999999996">
      <c r="A40" s="1372"/>
      <c r="B40" s="1372" t="s">
        <v>132</v>
      </c>
      <c r="C40" s="1372" t="s">
        <v>133</v>
      </c>
      <c r="D40" s="1372" t="s">
        <v>134</v>
      </c>
      <c r="E40" s="1366" t="s">
        <v>428</v>
      </c>
      <c r="F40" s="1366" t="s">
        <v>429</v>
      </c>
      <c r="G40" s="1366" t="s">
        <v>430</v>
      </c>
      <c r="H40" s="1366"/>
      <c r="I40" s="1366" t="s">
        <v>483</v>
      </c>
      <c r="J40" s="1366" t="s">
        <v>433</v>
      </c>
      <c r="K40" s="1366" t="s">
        <v>484</v>
      </c>
      <c r="L40" s="1366" t="s">
        <v>413</v>
      </c>
      <c r="Q40" s="378"/>
      <c r="R40" s="378"/>
      <c r="S40" s="2295"/>
      <c r="T40" s="2232"/>
      <c r="U40" s="304"/>
      <c r="V40" s="2390"/>
      <c r="W40" s="2391"/>
      <c r="X40" s="1982" t="s">
        <v>531</v>
      </c>
      <c r="Y40" s="1982" t="s">
        <v>532</v>
      </c>
      <c r="Z40" s="2391"/>
      <c r="AA40" s="1982" t="s">
        <v>533</v>
      </c>
      <c r="AB40" s="1982" t="s">
        <v>534</v>
      </c>
      <c r="AC40" s="1491" t="s">
        <v>437</v>
      </c>
      <c r="AD40" s="2291" t="s">
        <v>438</v>
      </c>
      <c r="AE40" s="2292"/>
      <c r="AF40" s="2301"/>
      <c r="AG40" s="2390"/>
      <c r="AH40" s="2391"/>
      <c r="AI40" s="1982" t="s">
        <v>531</v>
      </c>
      <c r="AJ40" s="1982" t="s">
        <v>532</v>
      </c>
      <c r="AK40" s="2391"/>
      <c r="AL40" s="1982" t="s">
        <v>533</v>
      </c>
      <c r="AM40" s="1982" t="s">
        <v>534</v>
      </c>
      <c r="AN40" s="1491" t="s">
        <v>437</v>
      </c>
      <c r="AO40" s="2291" t="s">
        <v>438</v>
      </c>
      <c r="AP40" s="2292"/>
      <c r="AQ40" s="2301"/>
      <c r="AR40" s="2304"/>
      <c r="AS40" s="2140"/>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106</v>
      </c>
      <c r="T41" s="1257" t="s">
        <v>107</v>
      </c>
      <c r="U41" s="1247" t="str">
        <f>OFFSET(U41,0,-1)</f>
        <v>2</v>
      </c>
      <c r="V41" s="1484">
        <f>OFFSET(V41,0,-1)+1</f>
        <v>3</v>
      </c>
      <c r="W41" s="1343"/>
      <c r="X41" s="1343"/>
      <c r="Y41" s="1343"/>
      <c r="Z41" s="1343"/>
      <c r="AA41" s="1343"/>
      <c r="AB41" s="1343"/>
      <c r="AC41" s="1484">
        <f>OFFSET(AC41,0,-1)+1</f>
        <v>1</v>
      </c>
      <c r="AD41" s="2293">
        <f>OFFSET(AD41,0,-1)+1</f>
        <v>2</v>
      </c>
      <c r="AE41" s="2293"/>
      <c r="AF41" s="1484">
        <f>OFFSET(AF41,0,-2)+1</f>
        <v>3</v>
      </c>
      <c r="AG41" s="1484">
        <f>OFFSET(AG41,0,-1)+1</f>
        <v>4</v>
      </c>
      <c r="AH41" s="1955"/>
      <c r="AI41" s="1955"/>
      <c r="AJ41" s="1955"/>
      <c r="AK41" s="1955"/>
      <c r="AL41" s="1955"/>
      <c r="AM41" s="1484">
        <f>OFFSET(AM41,0,-1)+1</f>
        <v>1</v>
      </c>
      <c r="AN41" s="1484">
        <f>OFFSET(AN41,0,-1)+1</f>
        <v>2</v>
      </c>
      <c r="AO41" s="2293">
        <f>OFFSET(AO41,0,-1)+1</f>
        <v>3</v>
      </c>
      <c r="AP41" s="2293"/>
      <c r="AQ41" s="1484">
        <f>OFFSET(AQ41,0,-2)+1</f>
        <v>4</v>
      </c>
      <c r="AR41" s="1247">
        <f>OFFSET(AR41,0,-1)</f>
        <v>4</v>
      </c>
      <c r="AS41" s="1484">
        <f>OFFSET(AS41,0,-1)+1</f>
        <v>5</v>
      </c>
      <c r="AT41" s="513"/>
      <c r="AU41" s="513"/>
      <c r="AV41" s="513"/>
      <c r="AW41" s="513"/>
      <c r="AX41" s="513"/>
      <c r="AY41" s="498">
        <v>0</v>
      </c>
    </row>
    <row customHeight="1" ht="24">
      <c r="A42" s="1365" t="s">
        <v>246</v>
      </c>
      <c r="B42" s="1365"/>
      <c r="C42" s="1365"/>
      <c r="D42" s="1365"/>
      <c r="E42" s="2277">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120</v>
      </c>
      <c r="U42" s="302"/>
      <c r="V42" s="2271"/>
      <c r="W42" s="2272"/>
      <c r="X42" s="2272"/>
      <c r="Y42" s="2272"/>
      <c r="Z42" s="2272"/>
      <c r="AA42" s="2272"/>
      <c r="AB42" s="2272"/>
      <c r="AC42" s="2272"/>
      <c r="AD42" s="2272"/>
      <c r="AE42" s="2272"/>
      <c r="AF42" s="2273"/>
      <c r="AG42" s="2271" t="str">
        <f>INDEX(PT_DIFFERENTIATION_NTAR,MATCH(A42,PT_DIFFERENTIATION_NTAR_ID,0))</f>
        <v/>
      </c>
      <c r="AH42" s="2272"/>
      <c r="AI42" s="2272"/>
      <c r="AJ42" s="2272"/>
      <c r="AK42" s="2272"/>
      <c r="AL42" s="2272"/>
      <c r="AM42" s="2272"/>
      <c r="AN42" s="2272"/>
      <c r="AO42" s="2272"/>
      <c r="AP42" s="2272"/>
      <c r="AQ42" s="2272"/>
      <c r="AR42" s="2273"/>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246</v>
      </c>
      <c r="B43" s="1365" t="s">
        <v>247</v>
      </c>
      <c r="C43" s="1365"/>
      <c r="D43" s="1365"/>
      <c r="E43" s="2278"/>
      <c r="F43" s="2277">
        <v>1</v>
      </c>
      <c r="G43" s="1365"/>
      <c r="H43" s="1365"/>
      <c r="I43" s="1365"/>
      <c r="J43" s="1365"/>
      <c r="K43" s="1365"/>
      <c r="L43" s="1366"/>
      <c r="M43" s="1367"/>
      <c r="N43" s="1367"/>
      <c r="O43" s="1367"/>
      <c r="P43" s="1489"/>
      <c r="Q43" s="354"/>
      <c r="R43" s="355"/>
      <c r="S43" s="1495" t="str">
        <f>INDEX(PT_DIFFERENTIATION_NUM_TER,MATCH(B43,PT_DIFFERENTIATION_TER_ID,0))</f>
        <v>.</v>
      </c>
      <c r="T43" s="310" t="s">
        <v>392</v>
      </c>
      <c r="U43" s="302"/>
      <c r="V43" s="2271"/>
      <c r="W43" s="2272"/>
      <c r="X43" s="2272"/>
      <c r="Y43" s="2272"/>
      <c r="Z43" s="2272"/>
      <c r="AA43" s="2272"/>
      <c r="AB43" s="2272"/>
      <c r="AC43" s="2272"/>
      <c r="AD43" s="2272"/>
      <c r="AE43" s="2272"/>
      <c r="AF43" s="2273"/>
      <c r="AG43" s="2271" t="str">
        <f>INDEX(PT_DIFFERENTIATION_TER,MATCH(B43,PT_DIFFERENTIATION_TER_ID,0))</f>
        <v/>
      </c>
      <c r="AH43" s="2272"/>
      <c r="AI43" s="2272"/>
      <c r="AJ43" s="2272"/>
      <c r="AK43" s="2272"/>
      <c r="AL43" s="2272"/>
      <c r="AM43" s="2272"/>
      <c r="AN43" s="2272"/>
      <c r="AO43" s="2272"/>
      <c r="AP43" s="2272"/>
      <c r="AQ43" s="2272"/>
      <c r="AR43" s="2273"/>
      <c r="AS43" s="1260" t="s">
        <v>393</v>
      </c>
      <c r="AU43" s="502"/>
      <c r="AV43" s="502" t="str">
        <f>IF(T43="","",T43)</f>
        <v>Территория действия тарифа</v>
      </c>
      <c r="AW43" s="502"/>
      <c r="AX43" s="502"/>
      <c r="AY43" s="1157">
        <v>23</v>
      </c>
    </row>
    <row customHeight="1" ht="24">
      <c r="A44" s="1365" t="s">
        <v>246</v>
      </c>
      <c r="B44" s="1365" t="s">
        <v>247</v>
      </c>
      <c r="C44" s="1365" t="s">
        <v>248</v>
      </c>
      <c r="D44" s="1365"/>
      <c r="E44" s="2278"/>
      <c r="F44" s="2278"/>
      <c r="G44" s="2277">
        <v>1</v>
      </c>
      <c r="H44" s="1365"/>
      <c r="I44" s="1365"/>
      <c r="J44" s="1365"/>
      <c r="K44" s="1365"/>
      <c r="L44" s="1366"/>
      <c r="M44" s="1367"/>
      <c r="N44" s="1367"/>
      <c r="O44" s="1367"/>
      <c r="P44" s="356"/>
      <c r="Q44" s="354"/>
      <c r="R44" s="355"/>
      <c r="S44" s="1495" t="str">
        <f>INDEX(PT_DIFFERENTIATION_NUM_CS,MATCH(C44,PT_DIFFERENTIATION_CS_ID,0))</f>
        <v>..</v>
      </c>
      <c r="T44" s="311" t="s">
        <v>523</v>
      </c>
      <c r="U44" s="302"/>
      <c r="V44" s="2271"/>
      <c r="W44" s="2272"/>
      <c r="X44" s="2272"/>
      <c r="Y44" s="2272"/>
      <c r="Z44" s="2272"/>
      <c r="AA44" s="2272"/>
      <c r="AB44" s="2272"/>
      <c r="AC44" s="2272"/>
      <c r="AD44" s="2272"/>
      <c r="AE44" s="2272"/>
      <c r="AF44" s="2273"/>
      <c r="AG44" s="2271" t="str">
        <f>INDEX(PT_DIFFERENTIATION_CS,MATCH(C44,PT_DIFFERENTIATION_CS_ID,0))</f>
        <v/>
      </c>
      <c r="AH44" s="2272"/>
      <c r="AI44" s="2272"/>
      <c r="AJ44" s="2272"/>
      <c r="AK44" s="2272"/>
      <c r="AL44" s="2272"/>
      <c r="AM44" s="2272"/>
      <c r="AN44" s="2272"/>
      <c r="AO44" s="2272"/>
      <c r="AP44" s="2272"/>
      <c r="AQ44" s="2272"/>
      <c r="AR44" s="2273"/>
      <c r="AS44" s="1260" t="s">
        <v>524</v>
      </c>
      <c r="AU44" s="502"/>
      <c r="AV44" s="502" t="str">
        <f>IF(T44="","",T44)</f>
        <v>Наименование централизованной системы горячего водоснабжения</v>
      </c>
      <c r="AW44" s="502"/>
      <c r="AX44" s="502"/>
      <c r="AY44" s="1157">
        <v>23</v>
      </c>
    </row>
    <row customHeight="1" ht="24">
      <c r="A45" s="1365" t="s">
        <v>246</v>
      </c>
      <c r="B45" s="1365" t="s">
        <v>247</v>
      </c>
      <c r="C45" s="1365" t="s">
        <v>248</v>
      </c>
      <c r="D45" s="1365" t="s">
        <v>535</v>
      </c>
      <c r="E45" s="2278"/>
      <c r="F45" s="2278"/>
      <c r="G45" s="2278"/>
      <c r="H45" s="2278"/>
      <c r="I45" s="2279" t="str">
        <f>S44&amp;".1"</f>
        <v>...1</v>
      </c>
      <c r="J45" s="1365"/>
      <c r="K45" s="1365"/>
      <c r="L45" s="1366"/>
      <c r="P45" s="2281">
        <v>1</v>
      </c>
      <c r="Q45" s="1483"/>
      <c r="R45" s="358"/>
      <c r="S45" s="1495" t="str">
        <f>$I45</f>
        <v>...1</v>
      </c>
      <c r="T45" s="287" t="s">
        <v>476</v>
      </c>
      <c r="U45" s="302"/>
      <c r="V45" s="2375"/>
      <c r="W45" s="2376"/>
      <c r="X45" s="2376"/>
      <c r="Y45" s="2376"/>
      <c r="Z45" s="2376"/>
      <c r="AA45" s="2376"/>
      <c r="AB45" s="2376"/>
      <c r="AC45" s="2376"/>
      <c r="AD45" s="2376"/>
      <c r="AE45" s="2376"/>
      <c r="AF45" s="2377"/>
      <c r="AG45" s="2378"/>
      <c r="AH45" s="2379"/>
      <c r="AI45" s="2379"/>
      <c r="AJ45" s="2379"/>
      <c r="AK45" s="2379"/>
      <c r="AL45" s="2379"/>
      <c r="AM45" s="2379"/>
      <c r="AN45" s="2379"/>
      <c r="AO45" s="2379"/>
      <c r="AP45" s="2379"/>
      <c r="AQ45" s="2379"/>
      <c r="AR45" s="2380"/>
      <c r="AS45" s="1260" t="s">
        <v>477</v>
      </c>
      <c r="AU45" s="502"/>
      <c r="AV45" s="502" t="str">
        <f>IF(T45="","",T45)</f>
        <v>Наименование признака дифференциации</v>
      </c>
      <c r="AW45" s="502"/>
      <c r="AX45" s="502"/>
      <c r="AY45" s="1157">
        <v>23</v>
      </c>
    </row>
    <row customHeight="1" ht="24">
      <c r="A46" s="1365" t="s">
        <v>246</v>
      </c>
      <c r="B46" s="1365" t="s">
        <v>247</v>
      </c>
      <c r="C46" s="1365" t="s">
        <v>248</v>
      </c>
      <c r="D46" s="1365" t="s">
        <v>535</v>
      </c>
      <c r="E46" s="2278"/>
      <c r="F46" s="2278"/>
      <c r="G46" s="2278"/>
      <c r="H46" s="2278"/>
      <c r="I46" s="2280"/>
      <c r="J46" s="2279" t="str">
        <f>I45&amp;".1"</f>
        <v>...1.1</v>
      </c>
      <c r="K46" s="1365"/>
      <c r="L46" s="1366" t="s">
        <v>401</v>
      </c>
      <c r="P46" s="2281"/>
      <c r="Q46" s="2281">
        <v>1</v>
      </c>
      <c r="R46" s="359"/>
      <c r="S46" s="1495" t="str">
        <f>$J46</f>
        <v>...1.1</v>
      </c>
      <c r="T46" s="288" t="s">
        <v>402</v>
      </c>
      <c r="U46" s="302"/>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309" t="s">
        <v>478</v>
      </c>
      <c r="AU46" s="502"/>
      <c r="AV46" s="502" t="str">
        <f>IF(T46="","",T46)</f>
        <v>Группа потребителей</v>
      </c>
      <c r="AW46" s="502"/>
      <c r="AX46" s="502"/>
      <c r="AY46" s="1157">
        <v>23</v>
      </c>
    </row>
    <row customHeight="1" ht="24">
      <c r="A47" s="1365" t="s">
        <v>246</v>
      </c>
      <c r="B47" s="1365" t="s">
        <v>247</v>
      </c>
      <c r="C47" s="1365" t="s">
        <v>248</v>
      </c>
      <c r="D47" s="1365" t="s">
        <v>535</v>
      </c>
      <c r="E47" s="2278"/>
      <c r="F47" s="2278"/>
      <c r="G47" s="2278"/>
      <c r="H47" s="2278"/>
      <c r="I47" s="2280"/>
      <c r="J47" s="2280"/>
      <c r="K47" s="2279" t="str">
        <f>J46&amp;".1"</f>
        <v>...1.1.1</v>
      </c>
      <c r="L47" s="1366"/>
      <c r="P47" s="2281"/>
      <c r="Q47" s="2281"/>
      <c r="R47" s="359">
        <v>1</v>
      </c>
      <c r="S47" s="1495" t="str">
        <f>$K47</f>
        <v>...1.1.1</v>
      </c>
      <c r="T47" s="1439"/>
      <c r="U47" s="302"/>
      <c r="V47" s="753"/>
      <c r="W47" s="753"/>
      <c r="X47" s="753"/>
      <c r="Y47" s="753"/>
      <c r="Z47" s="753"/>
      <c r="AA47" s="753"/>
      <c r="AB47" s="753"/>
      <c r="AC47" s="2275"/>
      <c r="AD47" s="2274" t="s">
        <v>65</v>
      </c>
      <c r="AE47" s="2275"/>
      <c r="AF47" s="2274" t="s">
        <v>65</v>
      </c>
      <c r="AG47" s="753"/>
      <c r="AH47" s="753"/>
      <c r="AI47" s="753"/>
      <c r="AJ47" s="753"/>
      <c r="AK47" s="753"/>
      <c r="AL47" s="753"/>
      <c r="AM47" s="753"/>
      <c r="AN47" s="2282"/>
      <c r="AO47" s="2150" t="s">
        <v>65</v>
      </c>
      <c r="AP47" s="2284"/>
      <c r="AQ47" s="2150" t="s">
        <v>19</v>
      </c>
      <c r="AR47" s="1440"/>
      <c r="AS4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246</v>
      </c>
      <c r="B48" s="1365" t="s">
        <v>247</v>
      </c>
      <c r="C48" s="1365" t="s">
        <v>248</v>
      </c>
      <c r="D48" s="1365" t="s">
        <v>535</v>
      </c>
      <c r="E48" s="2278"/>
      <c r="F48" s="2278"/>
      <c r="G48" s="2278"/>
      <c r="H48" s="2278"/>
      <c r="I48" s="2280"/>
      <c r="J48" s="2280"/>
      <c r="K48" s="2279"/>
      <c r="L48" s="1366"/>
      <c r="P48" s="2281"/>
      <c r="Q48" s="2281"/>
      <c r="R48" s="359"/>
      <c r="S48" s="1492"/>
      <c r="T48" s="302"/>
      <c r="U48" s="302"/>
      <c r="V48" s="1362"/>
      <c r="W48" s="1362"/>
      <c r="X48" s="1362"/>
      <c r="Y48" s="1362"/>
      <c r="Z48" s="1362"/>
      <c r="AA48" s="1362"/>
      <c r="AB48" s="1362"/>
      <c r="AC48" s="2274"/>
      <c r="AD48" s="2274"/>
      <c r="AE48" s="2274"/>
      <c r="AF48" s="2274"/>
      <c r="AG48" s="327"/>
      <c r="AH48" s="327"/>
      <c r="AI48" s="327"/>
      <c r="AJ48" s="327"/>
      <c r="AK48" s="327"/>
      <c r="AL48" s="327"/>
      <c r="AM48" s="327"/>
      <c r="AN48" s="2283"/>
      <c r="AO48" s="2150"/>
      <c r="AP48" s="2285"/>
      <c r="AQ48" s="2150"/>
      <c r="AR48" s="1441"/>
      <c r="AS48" s="2381"/>
      <c r="AU48" s="502"/>
      <c r="AV48" s="502" t="str">
        <f>IF(T48="","",T48)</f>
        <v/>
      </c>
      <c r="AW48" s="502"/>
      <c r="AX48" s="502"/>
      <c r="AY48" s="1157">
        <v>0</v>
      </c>
    </row>
    <row customHeight="1" ht="21">
      <c r="A49" s="1365" t="s">
        <v>246</v>
      </c>
      <c r="B49" s="1365" t="s">
        <v>247</v>
      </c>
      <c r="C49" s="1365" t="s">
        <v>248</v>
      </c>
      <c r="D49" s="1365" t="s">
        <v>535</v>
      </c>
      <c r="E49" s="2278"/>
      <c r="F49" s="2278"/>
      <c r="G49" s="2278"/>
      <c r="H49" s="2278"/>
      <c r="I49" s="2280"/>
      <c r="J49" s="2279"/>
      <c r="K49" s="1365"/>
      <c r="L49" s="1366"/>
      <c r="P49" s="2281"/>
      <c r="Q49" s="2281"/>
      <c r="R49" s="358"/>
      <c r="S49" s="1280"/>
      <c r="T49" s="289" t="s">
        <v>479</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480</v>
      </c>
      <c r="AU49" s="502"/>
      <c r="AV49" s="502" t="str">
        <f>IF(T49="","",T49)</f>
        <v>Добавить значение признака дифференциации</v>
      </c>
      <c r="AW49" s="502"/>
      <c r="AX49" s="502"/>
      <c r="AY49" s="1157">
        <v>20</v>
      </c>
    </row>
    <row customHeight="1" ht="22.049999999999997">
      <c r="A50" s="1365" t="s">
        <v>246</v>
      </c>
      <c r="B50" s="1365" t="s">
        <v>247</v>
      </c>
      <c r="C50" s="1365" t="s">
        <v>248</v>
      </c>
      <c r="D50" s="1365" t="s">
        <v>535</v>
      </c>
      <c r="E50" s="2278"/>
      <c r="F50" s="2278"/>
      <c r="G50" s="2278"/>
      <c r="H50" s="2278"/>
      <c r="I50" s="2279"/>
      <c r="J50" s="1365"/>
      <c r="K50" s="1365"/>
      <c r="L50" s="1366"/>
      <c r="P50" s="2281"/>
      <c r="Q50" s="1483"/>
      <c r="R50" s="358"/>
      <c r="S50" s="1280"/>
      <c r="T50" s="367" t="s">
        <v>407</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246</v>
      </c>
      <c r="B51" s="1365" t="s">
        <v>247</v>
      </c>
      <c r="C51" s="1365" t="s">
        <v>248</v>
      </c>
      <c r="D51" s="1365" t="s">
        <v>535</v>
      </c>
      <c r="E51" s="2278"/>
      <c r="F51" s="2278"/>
      <c r="G51" s="2278"/>
      <c r="H51" s="2277"/>
      <c r="I51" s="1365"/>
      <c r="J51" s="1365"/>
      <c r="K51" s="1365"/>
      <c r="L51" s="1366"/>
      <c r="M51" s="1367"/>
      <c r="N51" s="1367"/>
      <c r="O51" s="539"/>
      <c r="P51" s="362"/>
      <c r="Q51" s="377"/>
      <c r="R51" s="357"/>
      <c r="S51" s="1280"/>
      <c r="T51" s="374" t="s">
        <v>481</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246</v>
      </c>
      <c r="B52" s="1345" t="s">
        <v>247</v>
      </c>
      <c r="C52" s="1316"/>
      <c r="D52" s="1316"/>
      <c r="E52" s="2278"/>
      <c r="F52" s="2277"/>
      <c r="G52" s="1316"/>
      <c r="H52" s="1316"/>
      <c r="I52" s="1316"/>
      <c r="J52" s="1316"/>
      <c r="K52" s="1316"/>
      <c r="L52" s="1496"/>
      <c r="M52" s="1323"/>
      <c r="N52" s="1323"/>
      <c r="P52" s="1318"/>
      <c r="Q52" s="1319"/>
      <c r="R52" s="1318"/>
      <c r="S52" s="1324"/>
      <c r="T52" s="1327" t="s">
        <v>410</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246</v>
      </c>
      <c r="B53" s="1345"/>
      <c r="C53" s="1345"/>
      <c r="D53" s="1345"/>
      <c r="E53" s="2277"/>
      <c r="F53" s="1345"/>
      <c r="G53" s="1345"/>
      <c r="H53" s="1345"/>
      <c r="I53" s="1345"/>
      <c r="J53" s="1345"/>
      <c r="K53" s="1345"/>
      <c r="L53" s="1348"/>
      <c r="M53" s="1323"/>
      <c r="N53" s="1323"/>
      <c r="O53" s="520"/>
      <c r="P53" s="382"/>
      <c r="Q53" s="1346"/>
      <c r="R53" s="382"/>
      <c r="S53" s="1324"/>
      <c r="T53" s="1327" t="s">
        <v>411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439</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76"/>
      <c r="U56" s="2276"/>
      <c r="V56" s="2276"/>
      <c r="W56" s="2276"/>
      <c r="X56" s="2276"/>
      <c r="Y56" s="2276"/>
      <c r="Z56" s="2276"/>
      <c r="AA56" s="2276"/>
      <c r="AB56" s="2276"/>
      <c r="AC56" s="2276"/>
      <c r="AD56" s="2276"/>
      <c r="AE56" s="2276"/>
      <c r="AF56" s="2276"/>
      <c r="AG56" s="2276"/>
      <c r="AH56" s="2276"/>
      <c r="AI56" s="2276"/>
      <c r="AJ56" s="2276"/>
      <c r="AK56" s="2276"/>
      <c r="AL56" s="2276"/>
      <c r="AM56" s="2276"/>
      <c r="AN56" s="2276"/>
      <c r="AO56" s="2276"/>
      <c r="AP56" s="2276"/>
      <c r="AQ56" s="2276"/>
      <c r="AR56" s="2276"/>
      <c r="AS56" s="2276"/>
      <c r="AY56" s="1157">
        <v>14</v>
      </c>
    </row>
    <row customHeight="1" ht="14.699999999999998">
      <c r="O57" s="539"/>
      <c r="AY57" s="1157">
        <v>14</v>
      </c>
    </row>
    <row customHeight="1" ht="14.699999999999998">
      <c r="O58" s="539"/>
      <c r="S58" s="1255"/>
      <c r="T58" s="2276"/>
      <c r="U58" s="2276"/>
      <c r="V58" s="2276"/>
      <c r="W58" s="2276"/>
      <c r="X58" s="2276"/>
      <c r="Y58" s="2276"/>
      <c r="Z58" s="2276"/>
      <c r="AA58" s="2276"/>
      <c r="AB58" s="2276"/>
      <c r="AC58" s="2276"/>
      <c r="AD58" s="2276"/>
      <c r="AE58" s="2276"/>
      <c r="AF58" s="2276"/>
      <c r="AG58" s="2276"/>
      <c r="AH58" s="2276"/>
      <c r="AI58" s="2276"/>
      <c r="AJ58" s="2276"/>
      <c r="AK58" s="2276"/>
      <c r="AL58" s="2276"/>
      <c r="AM58" s="2276"/>
      <c r="AN58" s="2276"/>
      <c r="AO58" s="2276"/>
      <c r="AP58" s="2276"/>
      <c r="AQ58" s="2276"/>
      <c r="AR58" s="2276"/>
      <c r="AS58" s="2276"/>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127A8-A542-1175-A196-11B902943E0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28" width="19.140625" hidden="1" customWidth="1"/>
    <col min="13" max="14" style="1777" width="12.28125" hidden="1" customWidth="1"/>
    <col min="15" max="15" style="1777" width="23.421875" hidden="1" customWidth="1"/>
    <col min="16" max="16" style="2420" width="3.00390625" customWidth="1"/>
    <col min="17" max="18" style="346" width="3.00390625" customWidth="1"/>
    <col min="19" max="19" style="2433"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77">
        <v>1</v>
      </c>
      <c r="F2" s="1365"/>
      <c r="G2" s="1365"/>
      <c r="H2" s="1365"/>
      <c r="I2" s="1365"/>
      <c r="J2" s="1365"/>
      <c r="K2" s="1365"/>
      <c r="L2" s="1366"/>
      <c r="M2" s="1367"/>
      <c r="N2" s="1367"/>
      <c r="O2" s="1367"/>
      <c r="P2" s="363"/>
      <c r="Q2" s="362"/>
      <c r="R2" s="357"/>
      <c r="S2" s="1495">
        <f>INDEX(PT_DIFFERENTIATION_NUM_NTAR,MATCH(A2,PT_DIFFERENTIATION_NTAR_ID,0))</f>
      </c>
      <c r="T2" s="300" t="s">
        <v>120</v>
      </c>
      <c r="U2" s="302"/>
      <c r="V2" s="2271"/>
      <c r="W2" s="2272"/>
      <c r="X2" s="2272"/>
      <c r="Y2" s="2272"/>
      <c r="Z2" s="2272"/>
      <c r="AA2" s="2272"/>
      <c r="AB2" s="2272"/>
      <c r="AC2" s="2272"/>
      <c r="AD2" s="2272"/>
      <c r="AE2" s="2272"/>
      <c r="AF2" s="2273"/>
      <c r="AG2" s="2271">
        <f>INDEX(PT_DIFFERENTIATION_NTAR,MATCH(A2,PT_DIFFERENTIATION_NTAR_ID,0))</f>
      </c>
      <c r="AH2" s="2272"/>
      <c r="AI2" s="2272"/>
      <c r="AJ2" s="2272"/>
      <c r="AK2" s="2272"/>
      <c r="AL2" s="2272"/>
      <c r="AM2" s="2272"/>
      <c r="AN2" s="2272"/>
      <c r="AO2" s="2272"/>
      <c r="AP2" s="2272"/>
      <c r="AQ2" s="2272"/>
      <c r="AR2" s="2273"/>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78"/>
      <c r="F3" s="2277">
        <v>1</v>
      </c>
      <c r="G3" s="1365"/>
      <c r="H3" s="1365"/>
      <c r="I3" s="1365"/>
      <c r="J3" s="1365"/>
      <c r="K3" s="1365"/>
      <c r="L3" s="1366"/>
      <c r="M3" s="1367"/>
      <c r="N3" s="1367"/>
      <c r="O3" s="1367"/>
      <c r="P3" s="1489"/>
      <c r="Q3" s="354"/>
      <c r="R3" s="355"/>
      <c r="S3" s="1495">
        <f>INDEX(PT_DIFFERENTIATION_NUM_TER,MATCH(B3,PT_DIFFERENTIATION_TER_ID,0))</f>
      </c>
      <c r="T3" s="310" t="s">
        <v>392</v>
      </c>
      <c r="U3" s="302"/>
      <c r="V3" s="2271"/>
      <c r="W3" s="2272"/>
      <c r="X3" s="2272"/>
      <c r="Y3" s="2272"/>
      <c r="Z3" s="2272"/>
      <c r="AA3" s="2272"/>
      <c r="AB3" s="2272"/>
      <c r="AC3" s="2272"/>
      <c r="AD3" s="2272"/>
      <c r="AE3" s="2272"/>
      <c r="AF3" s="2273"/>
      <c r="AG3" s="2271">
        <f>INDEX(PT_DIFFERENTIATION_TER,MATCH(B3,PT_DIFFERENTIATION_TER_ID,0))</f>
      </c>
      <c r="AH3" s="2272"/>
      <c r="AI3" s="2272"/>
      <c r="AJ3" s="2272"/>
      <c r="AK3" s="2272"/>
      <c r="AL3" s="2272"/>
      <c r="AM3" s="2272"/>
      <c r="AN3" s="2272"/>
      <c r="AO3" s="2272"/>
      <c r="AP3" s="2272"/>
      <c r="AQ3" s="2272"/>
      <c r="AR3" s="2273"/>
      <c r="AS3" s="1260" t="s">
        <v>393</v>
      </c>
      <c r="AU3" s="502"/>
      <c r="AV3" s="502" t="str">
        <f>IF(T3="","",T3)</f>
        <v>Территория действия тарифа</v>
      </c>
      <c r="AW3" s="502"/>
      <c r="AX3" s="502"/>
      <c r="AY3" s="1157">
        <v>0</v>
      </c>
    </row>
    <row customHeight="1" ht="23.25" hidden="1">
      <c r="A4" s="1365"/>
      <c r="B4" s="1365"/>
      <c r="C4" s="1365"/>
      <c r="D4" s="1365"/>
      <c r="E4" s="2278"/>
      <c r="F4" s="2278"/>
      <c r="G4" s="2277">
        <v>1</v>
      </c>
      <c r="H4" s="1365"/>
      <c r="I4" s="1365"/>
      <c r="J4" s="1365"/>
      <c r="K4" s="1365"/>
      <c r="L4" s="1366"/>
      <c r="M4" s="1367"/>
      <c r="N4" s="1367"/>
      <c r="O4" s="1367"/>
      <c r="P4" s="356"/>
      <c r="Q4" s="354"/>
      <c r="R4" s="355"/>
      <c r="S4" s="1495">
        <f>INDEX(PT_DIFFERENTIATION_NUM_CS,MATCH(C4,PT_DIFFERENTIATION_CS_ID,0))</f>
      </c>
      <c r="T4" s="311" t="s">
        <v>523</v>
      </c>
      <c r="U4" s="302"/>
      <c r="V4" s="2271"/>
      <c r="W4" s="2272"/>
      <c r="X4" s="2272"/>
      <c r="Y4" s="2272"/>
      <c r="Z4" s="2272"/>
      <c r="AA4" s="2272"/>
      <c r="AB4" s="2272"/>
      <c r="AC4" s="2272"/>
      <c r="AD4" s="2272"/>
      <c r="AE4" s="2272"/>
      <c r="AF4" s="2273"/>
      <c r="AG4" s="2271">
        <f>INDEX(PT_DIFFERENTIATION_CS,MATCH(C4,PT_DIFFERENTIATION_CS_ID,0))</f>
      </c>
      <c r="AH4" s="2272"/>
      <c r="AI4" s="2272"/>
      <c r="AJ4" s="2272"/>
      <c r="AK4" s="2272"/>
      <c r="AL4" s="2272"/>
      <c r="AM4" s="2272"/>
      <c r="AN4" s="2272"/>
      <c r="AO4" s="2272"/>
      <c r="AP4" s="2272"/>
      <c r="AQ4" s="2272"/>
      <c r="AR4" s="2273"/>
      <c r="AS4" s="1260" t="s">
        <v>524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78"/>
      <c r="F5" s="2278"/>
      <c r="G5" s="2278"/>
      <c r="H5" s="2278"/>
      <c r="I5" s="2279">
        <f>S4&amp;".1"</f>
      </c>
      <c r="J5" s="1365"/>
      <c r="K5" s="1365"/>
      <c r="L5" s="1366"/>
      <c r="P5" s="2281">
        <v>1</v>
      </c>
      <c r="Q5" s="1483"/>
      <c r="R5" s="358"/>
      <c r="S5" s="1495">
        <f>$I5</f>
      </c>
      <c r="T5" s="287" t="s">
        <v>476</v>
      </c>
      <c r="U5" s="302"/>
      <c r="V5" s="2375"/>
      <c r="W5" s="2376"/>
      <c r="X5" s="2376"/>
      <c r="Y5" s="2376"/>
      <c r="Z5" s="2376"/>
      <c r="AA5" s="2376"/>
      <c r="AB5" s="2376"/>
      <c r="AC5" s="2376"/>
      <c r="AD5" s="2376"/>
      <c r="AE5" s="2376"/>
      <c r="AF5" s="2377"/>
      <c r="AG5" s="2378"/>
      <c r="AH5" s="2379"/>
      <c r="AI5" s="2379"/>
      <c r="AJ5" s="2379"/>
      <c r="AK5" s="2379"/>
      <c r="AL5" s="2379"/>
      <c r="AM5" s="2379"/>
      <c r="AN5" s="2379"/>
      <c r="AO5" s="2379"/>
      <c r="AP5" s="2379"/>
      <c r="AQ5" s="2379"/>
      <c r="AR5" s="2380"/>
      <c r="AS5" s="1260" t="s">
        <v>477</v>
      </c>
      <c r="AU5" s="502"/>
      <c r="AV5" s="502" t="str">
        <f>IF(T5="","",T5)</f>
        <v>Наименование признака дифференциации</v>
      </c>
      <c r="AW5" s="502"/>
      <c r="AX5" s="502"/>
      <c r="AY5" s="1157">
        <v>0</v>
      </c>
    </row>
    <row customHeight="1" ht="23.25" hidden="1">
      <c r="A6" s="1365"/>
      <c r="B6" s="1365"/>
      <c r="C6" s="1365"/>
      <c r="D6" s="1365"/>
      <c r="E6" s="2278"/>
      <c r="F6" s="2278"/>
      <c r="G6" s="2278"/>
      <c r="H6" s="2278"/>
      <c r="I6" s="2280"/>
      <c r="J6" s="2279">
        <f>I5&amp;".1"</f>
      </c>
      <c r="K6" s="1365"/>
      <c r="L6" s="1366" t="s">
        <v>401</v>
      </c>
      <c r="P6" s="2281"/>
      <c r="Q6" s="2281">
        <v>1</v>
      </c>
      <c r="R6" s="359"/>
      <c r="S6" s="1495">
        <f>$J6</f>
      </c>
      <c r="T6" s="288" t="s">
        <v>402</v>
      </c>
      <c r="U6" s="302"/>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309" t="s">
        <v>478</v>
      </c>
      <c r="AU6" s="502"/>
      <c r="AV6" s="502" t="str">
        <f>IF(T6="","",T6)</f>
        <v>Группа потребителей</v>
      </c>
      <c r="AW6" s="502"/>
      <c r="AX6" s="502"/>
      <c r="AY6" s="1157">
        <v>0</v>
      </c>
    </row>
    <row customHeight="1" ht="23.25" hidden="1">
      <c r="A7" s="1365"/>
      <c r="B7" s="1365"/>
      <c r="C7" s="1365"/>
      <c r="D7" s="1365"/>
      <c r="E7" s="2278"/>
      <c r="F7" s="2278"/>
      <c r="G7" s="2278"/>
      <c r="H7" s="2278"/>
      <c r="I7" s="2280"/>
      <c r="J7" s="2280"/>
      <c r="K7" s="2279">
        <f>J6&amp;".1"</f>
      </c>
      <c r="L7" s="1366"/>
      <c r="P7" s="2281"/>
      <c r="Q7" s="2281"/>
      <c r="R7" s="359">
        <v>1</v>
      </c>
      <c r="S7" s="1495">
        <f>$K7</f>
      </c>
      <c r="T7" s="1439"/>
      <c r="U7" s="302"/>
      <c r="V7" s="753"/>
      <c r="W7" s="753"/>
      <c r="X7" s="753"/>
      <c r="Y7" s="753"/>
      <c r="Z7" s="753"/>
      <c r="AA7" s="753"/>
      <c r="AB7" s="1259"/>
      <c r="AC7" s="2282"/>
      <c r="AD7" s="2150" t="s">
        <v>65</v>
      </c>
      <c r="AE7" s="2282"/>
      <c r="AF7" s="2150" t="s">
        <v>65</v>
      </c>
      <c r="AG7" s="753"/>
      <c r="AH7" s="753"/>
      <c r="AI7" s="753"/>
      <c r="AJ7" s="753"/>
      <c r="AK7" s="753"/>
      <c r="AL7" s="753"/>
      <c r="AM7" s="1259"/>
      <c r="AN7" s="2282"/>
      <c r="AO7" s="2150" t="s">
        <v>65</v>
      </c>
      <c r="AP7" s="2284"/>
      <c r="AQ7" s="2150" t="s">
        <v>65</v>
      </c>
      <c r="AR7" s="1440"/>
      <c r="AS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78"/>
      <c r="F8" s="2278"/>
      <c r="G8" s="2278"/>
      <c r="H8" s="2278"/>
      <c r="I8" s="2280"/>
      <c r="J8" s="2280"/>
      <c r="K8" s="2279"/>
      <c r="L8" s="1366"/>
      <c r="P8" s="2281"/>
      <c r="Q8" s="2281"/>
      <c r="R8" s="359"/>
      <c r="S8" s="1492"/>
      <c r="T8" s="302"/>
      <c r="U8" s="302"/>
      <c r="V8" s="327"/>
      <c r="W8" s="327"/>
      <c r="X8" s="327"/>
      <c r="Y8" s="327"/>
      <c r="Z8" s="327"/>
      <c r="AA8" s="327"/>
      <c r="AB8" s="330" t="str">
        <f>AC7&amp;"-"&amp;AE7</f>
        <v>-</v>
      </c>
      <c r="AC8" s="2283"/>
      <c r="AD8" s="2150"/>
      <c r="AE8" s="2283"/>
      <c r="AF8" s="2150"/>
      <c r="AG8" s="327"/>
      <c r="AH8" s="327"/>
      <c r="AI8" s="327"/>
      <c r="AJ8" s="327"/>
      <c r="AK8" s="327"/>
      <c r="AL8" s="327"/>
      <c r="AM8" s="330" t="str">
        <f>AN7&amp;"-"&amp;AP7</f>
        <v>-</v>
      </c>
      <c r="AN8" s="2283"/>
      <c r="AO8" s="2150"/>
      <c r="AP8" s="2285"/>
      <c r="AQ8" s="2150"/>
      <c r="AR8" s="1441"/>
      <c r="AS8" s="2381"/>
      <c r="AU8" s="502"/>
      <c r="AV8" s="502" t="str">
        <f>IF(T8="","",T8)</f>
        <v/>
      </c>
      <c r="AW8" s="502"/>
      <c r="AX8" s="502"/>
      <c r="AY8" s="1157">
        <v>0</v>
      </c>
    </row>
    <row customHeight="1" ht="21" hidden="1">
      <c r="A9" s="1365"/>
      <c r="B9" s="1365"/>
      <c r="C9" s="1365"/>
      <c r="D9" s="1365"/>
      <c r="E9" s="2278"/>
      <c r="F9" s="2278"/>
      <c r="G9" s="2278"/>
      <c r="H9" s="2278"/>
      <c r="I9" s="2280"/>
      <c r="J9" s="2279"/>
      <c r="K9" s="1365"/>
      <c r="L9" s="1366"/>
      <c r="P9" s="2281"/>
      <c r="Q9" s="2281"/>
      <c r="R9" s="358"/>
      <c r="S9" s="1280"/>
      <c r="T9" s="289" t="s">
        <v>479</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480</v>
      </c>
      <c r="AU9" s="502"/>
      <c r="AV9" s="502" t="str">
        <f>IF(T9="","",T9)</f>
        <v>Добавить значение признака дифференциации</v>
      </c>
      <c r="AW9" s="502"/>
      <c r="AX9" s="502"/>
      <c r="AY9" s="1157">
        <v>0</v>
      </c>
    </row>
    <row customHeight="1" ht="21" hidden="1">
      <c r="A10" s="1365"/>
      <c r="B10" s="1365"/>
      <c r="C10" s="1365"/>
      <c r="D10" s="1365"/>
      <c r="E10" s="2278"/>
      <c r="F10" s="2278"/>
      <c r="G10" s="2278"/>
      <c r="H10" s="2278"/>
      <c r="I10" s="2279"/>
      <c r="J10" s="1365"/>
      <c r="K10" s="1365"/>
      <c r="L10" s="1366"/>
      <c r="P10" s="2281"/>
      <c r="Q10" s="1483"/>
      <c r="R10" s="358"/>
      <c r="S10" s="1280"/>
      <c r="T10" s="367" t="s">
        <v>407</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78"/>
      <c r="F11" s="2278"/>
      <c r="G11" s="2278"/>
      <c r="H11" s="2277"/>
      <c r="I11" s="1365"/>
      <c r="J11" s="1365"/>
      <c r="K11" s="1365"/>
      <c r="L11" s="1366"/>
      <c r="M11" s="1367"/>
      <c r="N11" s="1367"/>
      <c r="O11" s="539"/>
      <c r="P11" s="362"/>
      <c r="Q11" s="377"/>
      <c r="R11" s="357"/>
      <c r="S11" s="1280"/>
      <c r="T11" s="374" t="s">
        <v>481</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78"/>
      <c r="F12" s="2277"/>
      <c r="G12" s="1316"/>
      <c r="H12" s="1316"/>
      <c r="I12" s="1316"/>
      <c r="J12" s="1316"/>
      <c r="K12" s="1316"/>
      <c r="L12" s="1496"/>
      <c r="M12" s="1323"/>
      <c r="N12" s="1323"/>
      <c r="P12" s="1318"/>
      <c r="Q12" s="1319"/>
      <c r="R12" s="1318"/>
      <c r="S12" s="1324"/>
      <c r="T12" s="1327" t="s">
        <v>410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77"/>
      <c r="F13" s="1345"/>
      <c r="G13" s="1345"/>
      <c r="H13" s="1345"/>
      <c r="I13" s="1345"/>
      <c r="J13" s="1345"/>
      <c r="K13" s="1345"/>
      <c r="L13" s="1348"/>
      <c r="M13" s="1323"/>
      <c r="N13" s="1323"/>
      <c r="O13" s="520"/>
      <c r="P13" s="382"/>
      <c r="Q13" s="1346"/>
      <c r="R13" s="382"/>
      <c r="S13" s="1324"/>
      <c r="T13" s="1327" t="s">
        <v>411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75"/>
      <c r="AO15" s="2274" t="s">
        <v>65</v>
      </c>
      <c r="AP15" s="2275"/>
      <c r="AQ15" s="2274" t="s">
        <v>65</v>
      </c>
      <c r="AY15" s="1157">
        <v>0</v>
      </c>
    </row>
    <row customHeight="1" ht="14.25" hidden="1">
      <c r="AG16" s="1362"/>
      <c r="AH16" s="1362"/>
      <c r="AI16" s="1362"/>
      <c r="AJ16" s="1362"/>
      <c r="AK16" s="1362"/>
      <c r="AL16" s="1362"/>
      <c r="AM16" s="330" t="str">
        <f>AN15&amp;"-"&amp;AP15</f>
        <v>-</v>
      </c>
      <c r="AN16" s="2274"/>
      <c r="AO16" s="2274"/>
      <c r="AP16" s="2274"/>
      <c r="AQ16" s="2274"/>
      <c r="AY16" s="1157">
        <v>0</v>
      </c>
    </row>
    <row customHeight="1" ht="14.25" hidden="1">
      <c r="AQ17" s="329"/>
      <c r="AY17" s="1157">
        <v>0</v>
      </c>
    </row>
    <row s="1368" customFormat="1" customHeight="1" ht="22.5" hidden="1">
      <c r="L18" s="1480"/>
      <c r="M18" s="1364"/>
      <c r="N18" s="1364"/>
      <c r="O18" s="1369" t="s">
        <v>412</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413</v>
      </c>
      <c r="P20" s="1364"/>
      <c r="Q20" s="1444"/>
      <c r="R20" s="1444"/>
      <c r="S20" s="731"/>
      <c r="T20" s="1162" t="s">
        <v>414</v>
      </c>
      <c r="W20" s="1368"/>
      <c r="X20" s="1368"/>
      <c r="Y20" s="1368"/>
      <c r="Z20" s="1368"/>
      <c r="AA20" s="1368"/>
      <c r="AD20" s="188" t="s">
        <v>415</v>
      </c>
      <c r="AF20" s="188" t="s">
        <v>416</v>
      </c>
      <c r="AG20" s="1162" t="s">
        <v>414</v>
      </c>
      <c r="AH20" s="1368"/>
      <c r="AI20" s="1368"/>
      <c r="AJ20" s="1368"/>
      <c r="AK20" s="1368"/>
      <c r="AL20" s="1368"/>
      <c r="AO20" s="188" t="s">
        <v>417</v>
      </c>
      <c r="AQ20" s="188" t="s">
        <v>416</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3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0"/>
      <c r="U24" s="2310"/>
      <c r="V24" s="2310"/>
      <c r="W24" s="2310"/>
      <c r="X24" s="2310"/>
      <c r="Y24" s="2310"/>
      <c r="Z24" s="2310"/>
      <c r="AA24" s="2310"/>
      <c r="AB24" s="2310"/>
      <c r="AC24" s="2310"/>
      <c r="AD24" s="2310"/>
      <c r="AE24" s="2310"/>
      <c r="AF24" s="2310"/>
      <c r="AG24" s="2310"/>
      <c r="AH24" s="2310"/>
      <c r="AI24" s="2310"/>
      <c r="AJ24" s="2310"/>
      <c r="AK24" s="2310"/>
      <c r="AL24" s="2310"/>
      <c r="AM24" s="2310"/>
      <c r="AN24" s="2310"/>
      <c r="AO24" s="2310"/>
      <c r="AP24" s="2310"/>
      <c r="AQ24" s="1245"/>
      <c r="AY24" s="1157">
        <v>25</v>
      </c>
    </row>
    <row customHeight="1" ht="14.699999999999998">
      <c r="Q25" s="378"/>
      <c r="R25" s="378"/>
      <c r="S25" s="2311" t="str">
        <f>IF(org=0,"Не определено",org)</f>
        <v>Муниципальное унитарное предприятие "Невельские коммунальные сети"</v>
      </c>
      <c r="T25" s="2311"/>
      <c r="U25" s="2311"/>
      <c r="V25" s="2311"/>
      <c r="W25" s="2311"/>
      <c r="X25" s="2311"/>
      <c r="Y25" s="2311"/>
      <c r="Z25" s="2311"/>
      <c r="AA25" s="2311"/>
      <c r="AB25" s="2311"/>
      <c r="AC25" s="2311"/>
      <c r="AD25" s="2311"/>
      <c r="AE25" s="2311"/>
      <c r="AF25" s="2311"/>
      <c r="AG25" s="2311"/>
      <c r="AH25" s="2311"/>
      <c r="AI25" s="2311"/>
      <c r="AJ25" s="2311"/>
      <c r="AK25" s="2311"/>
      <c r="AL25" s="2311"/>
      <c r="AM25" s="2311"/>
      <c r="AN25" s="2311"/>
      <c r="AO25" s="2311"/>
      <c r="AP25" s="231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2" customFormat="1" customHeight="1" ht="25.5" hidden="1">
      <c r="A27" s="1370"/>
      <c r="B27" s="1370"/>
      <c r="C27" s="1370"/>
      <c r="D27" s="1370"/>
      <c r="E27" s="1370"/>
      <c r="F27" s="1370"/>
      <c r="G27" s="1370"/>
      <c r="H27" s="1370"/>
      <c r="I27" s="1370"/>
      <c r="J27" s="1370"/>
      <c r="K27" s="1370"/>
      <c r="L27" s="1371"/>
      <c r="M27" s="1370"/>
      <c r="N27" s="1370"/>
      <c r="O27" s="1370"/>
      <c r="S27"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68"/>
      <c r="U27" s="1374"/>
      <c r="V27" s="2270" t="str">
        <f>IF(TITLE_NAME_OR_PR_CHANGE="",IF(TITLE_NAME_OR_PR="","",TITLE_NAME_OR_PR),TITLE_NAME_OR_PR_CHANGE)</f>
        <v/>
      </c>
      <c r="W27" s="2270"/>
      <c r="X27" s="2270"/>
      <c r="Y27" s="2270"/>
      <c r="Z27" s="2270"/>
      <c r="AA27" s="2270"/>
      <c r="AB27" s="2270"/>
      <c r="AC27" s="2270"/>
      <c r="AD27" s="2270"/>
      <c r="AE27" s="2270"/>
      <c r="AF27" s="328"/>
      <c r="AG27" s="2270" t="str">
        <f>IF(TITLE_NAME_OR_PR_CHANGE="",IF(TITLE_NAME_OR_PR="","",TITLE_NAME_OR_PR),TITLE_NAME_OR_PR_CHANGE)</f>
        <v/>
      </c>
      <c r="AH27" s="2270"/>
      <c r="AI27" s="2270"/>
      <c r="AJ27" s="2270"/>
      <c r="AK27" s="2270"/>
      <c r="AL27" s="2270"/>
      <c r="AM27" s="2270"/>
      <c r="AN27" s="2270"/>
      <c r="AO27" s="2270"/>
      <c r="AP27" s="2270"/>
      <c r="AQ27" s="328"/>
      <c r="AR27" s="328"/>
      <c r="AS27" s="282"/>
      <c r="AT27" s="370"/>
      <c r="AU27" s="370"/>
      <c r="AV27" s="370"/>
      <c r="AW27" s="370"/>
      <c r="AX27" s="370"/>
      <c r="AY27" s="420">
        <v>0</v>
      </c>
    </row>
    <row s="1852" customFormat="1" customHeight="1" ht="18.75" hidden="1">
      <c r="A28" s="1370"/>
      <c r="B28" s="1370"/>
      <c r="C28" s="1370"/>
      <c r="D28" s="1370"/>
      <c r="E28" s="1370"/>
      <c r="F28" s="1370"/>
      <c r="G28" s="1370"/>
      <c r="H28" s="1370"/>
      <c r="I28" s="1370"/>
      <c r="J28" s="1370"/>
      <c r="K28" s="1370"/>
      <c r="L28" s="1371"/>
      <c r="M28" s="1370"/>
      <c r="N28" s="1370"/>
      <c r="O28" s="1370"/>
      <c r="S28" s="2268" t="str">
        <f>"Дата документа об "&amp;IF(TITLE_DATE_PR_CHANGE="","утверждении","изменении")&amp;" тарифов"</f>
        <v>Дата документа об утверждении тарифов</v>
      </c>
      <c r="T28" s="2268"/>
      <c r="U28" s="1374"/>
      <c r="V28" s="2269" t="str">
        <f>IF(TITLE_DATE_PR_CHANGE="",IF(TITLE_DATE_PR="","",TITLE_DATE_PR),TITLE_DATE_PR_CHANGE)</f>
        <v/>
      </c>
      <c r="W28" s="2269"/>
      <c r="X28" s="2269"/>
      <c r="Y28" s="2269"/>
      <c r="Z28" s="2269"/>
      <c r="AA28" s="2269"/>
      <c r="AB28" s="2269"/>
      <c r="AC28" s="2269"/>
      <c r="AD28" s="2269"/>
      <c r="AE28" s="2269"/>
      <c r="AF28" s="328"/>
      <c r="AG28" s="2269" t="str">
        <f>IF(TITLE_DATE_PR_CHANGE="",IF(TITLE_DATE_PR="","",TITLE_DATE_PR),TITLE_DATE_PR_CHANGE)</f>
        <v/>
      </c>
      <c r="AH28" s="2269"/>
      <c r="AI28" s="2269"/>
      <c r="AJ28" s="2269"/>
      <c r="AK28" s="2269"/>
      <c r="AL28" s="2269"/>
      <c r="AM28" s="2269"/>
      <c r="AN28" s="2269"/>
      <c r="AO28" s="2269"/>
      <c r="AP28" s="2269"/>
      <c r="AQ28" s="328"/>
      <c r="AR28" s="328"/>
      <c r="AS28" s="282"/>
      <c r="AT28" s="370"/>
      <c r="AU28" s="370"/>
      <c r="AV28" s="370"/>
      <c r="AW28" s="370"/>
      <c r="AX28" s="370"/>
      <c r="AY28" s="420">
        <v>0</v>
      </c>
    </row>
    <row s="1852" customFormat="1" customHeight="1" ht="18.75" hidden="1">
      <c r="A29" s="1370"/>
      <c r="B29" s="1370"/>
      <c r="C29" s="1370"/>
      <c r="D29" s="1370"/>
      <c r="E29" s="1370"/>
      <c r="F29" s="1370"/>
      <c r="G29" s="1370"/>
      <c r="H29" s="1370"/>
      <c r="I29" s="1370"/>
      <c r="J29" s="1370"/>
      <c r="K29" s="1370"/>
      <c r="L29" s="1371"/>
      <c r="M29" s="1370"/>
      <c r="N29" s="1370"/>
      <c r="O29" s="1370"/>
      <c r="S29" s="2268" t="str">
        <f>"Номер документа об "&amp;IF(TITLE_DATE_PR_CHANGE="","утверждении","изменении")&amp;" тарифов"</f>
        <v>Номер документа об утверждении тарифов</v>
      </c>
      <c r="T29" s="2268"/>
      <c r="U29" s="1374"/>
      <c r="V29" s="2270" t="str">
        <f>IF(TITLE_NUMBER_PR_CHANGE="",IF(TITLE_NUMBER_PR="","",TITLE_NUMBER_PR),TITLE_NUMBER_PR_CHANGE)</f>
        <v/>
      </c>
      <c r="W29" s="2270"/>
      <c r="X29" s="2270"/>
      <c r="Y29" s="2270"/>
      <c r="Z29" s="2270"/>
      <c r="AA29" s="2270"/>
      <c r="AB29" s="2270"/>
      <c r="AC29" s="2270"/>
      <c r="AD29" s="2270"/>
      <c r="AE29" s="2270"/>
      <c r="AF29" s="328"/>
      <c r="AG29" s="2270" t="str">
        <f>IF(TITLE_NUMBER_PR_CHANGE="",IF(TITLE_NUMBER_PR="","",TITLE_NUMBER_PR),TITLE_NUMBER_PR_CHANGE)</f>
        <v/>
      </c>
      <c r="AH29" s="2270"/>
      <c r="AI29" s="2270"/>
      <c r="AJ29" s="2270"/>
      <c r="AK29" s="2270"/>
      <c r="AL29" s="2270"/>
      <c r="AM29" s="2270"/>
      <c r="AN29" s="2270"/>
      <c r="AO29" s="2270"/>
      <c r="AP29" s="2270"/>
      <c r="AQ29" s="328"/>
      <c r="AR29" s="328"/>
      <c r="AS29" s="282"/>
      <c r="AT29" s="370"/>
      <c r="AU29" s="370"/>
      <c r="AV29" s="370"/>
      <c r="AW29" s="370"/>
      <c r="AX29" s="370"/>
      <c r="AY29" s="420">
        <v>0</v>
      </c>
    </row>
    <row s="1852" customFormat="1" customHeight="1" ht="18.75" hidden="1">
      <c r="A30" s="1370"/>
      <c r="B30" s="1370"/>
      <c r="C30" s="1370"/>
      <c r="D30" s="1370"/>
      <c r="E30" s="1370"/>
      <c r="F30" s="1370"/>
      <c r="G30" s="1370"/>
      <c r="H30" s="1370"/>
      <c r="I30" s="1370"/>
      <c r="J30" s="1370"/>
      <c r="K30" s="1370"/>
      <c r="L30" s="1371"/>
      <c r="M30" s="1370"/>
      <c r="N30" s="1370"/>
      <c r="O30" s="1370"/>
      <c r="S30" s="2268" t="s">
        <v>43</v>
      </c>
      <c r="T30" s="2268"/>
      <c r="U30" s="1374"/>
      <c r="V30" s="2270" t="str">
        <f>IF(TITLE_IST_PUB_CHANGE="",IF(TITLE_IST_PUB="","",TITLE_IST_PUB),TITLE_IST_PUB_CHANGE)</f>
        <v/>
      </c>
      <c r="W30" s="2270"/>
      <c r="X30" s="2270"/>
      <c r="Y30" s="2270"/>
      <c r="Z30" s="2270"/>
      <c r="AA30" s="2270"/>
      <c r="AB30" s="2270"/>
      <c r="AC30" s="2270"/>
      <c r="AD30" s="2270"/>
      <c r="AE30" s="2270"/>
      <c r="AF30" s="328"/>
      <c r="AG30" s="2270" t="str">
        <f>IF(TITLE_IST_PUB_CHANGE="",IF(TITLE_IST_PUB="","",TITLE_IST_PUB),TITLE_IST_PUB_CHANGE)</f>
        <v/>
      </c>
      <c r="AH30" s="2270"/>
      <c r="AI30" s="2270"/>
      <c r="AJ30" s="2270"/>
      <c r="AK30" s="2270"/>
      <c r="AL30" s="2270"/>
      <c r="AM30" s="2270"/>
      <c r="AN30" s="2270"/>
      <c r="AO30" s="2270"/>
      <c r="AP30" s="2270"/>
      <c r="AQ30" s="328"/>
      <c r="AR30" s="328"/>
      <c r="AS30" s="282"/>
      <c r="AT30" s="370"/>
      <c r="AU30" s="370"/>
      <c r="AV30" s="370"/>
      <c r="AW30" s="370"/>
      <c r="AX30" s="370"/>
      <c r="AY30" s="420">
        <v>0</v>
      </c>
    </row>
    <row customHeight="1" ht="14.25" hidden="1">
      <c r="Q31" s="378"/>
      <c r="R31" s="378"/>
      <c r="S31" s="1277"/>
      <c r="T31" s="459"/>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2" customFormat="1" customHeight="1" ht="18.75" hidden="1">
      <c r="A32" s="1370"/>
      <c r="B32" s="1370"/>
      <c r="C32" s="1370"/>
      <c r="D32" s="1370"/>
      <c r="E32" s="1370"/>
      <c r="F32" s="1370"/>
      <c r="G32" s="1370"/>
      <c r="H32" s="1370"/>
      <c r="I32" s="1370"/>
      <c r="J32" s="1370"/>
      <c r="K32" s="1370"/>
      <c r="L32" s="1371"/>
      <c r="M32" s="1370"/>
      <c r="N32" s="1370"/>
      <c r="O32" s="1370"/>
      <c r="S32" s="2268" t="str">
        <f>"Дата подачи заявления об "&amp;IF(TITLE_DATE_PR_CHANGE="","утверждении","изменении")&amp;" тарифов"</f>
        <v>Дата подачи заявления об утверждении тарифов</v>
      </c>
      <c r="T32" s="2268"/>
      <c r="U32" s="1374"/>
      <c r="V32" s="2269" t="str">
        <f>IF(TITLE_DATE_PR_CHANGE="",IF(TITLE_DATE_PR="","",TITLE_DATE_PR),TITLE_DATE_PR_CHANGE)</f>
        <v/>
      </c>
      <c r="W32" s="2269"/>
      <c r="X32" s="2269"/>
      <c r="Y32" s="2269"/>
      <c r="Z32" s="2269"/>
      <c r="AA32" s="2269"/>
      <c r="AB32" s="2269"/>
      <c r="AC32" s="2269"/>
      <c r="AD32" s="2269"/>
      <c r="AE32" s="2269"/>
      <c r="AF32" s="328"/>
      <c r="AG32" s="2269" t="str">
        <f>IF(TITLE_DATE_PR_CHANGE="",IF(TITLE_DATE_PR="","",TITLE_DATE_PR),TITLE_DATE_PR_CHANGE)</f>
        <v/>
      </c>
      <c r="AH32" s="2269"/>
      <c r="AI32" s="2269"/>
      <c r="AJ32" s="2269"/>
      <c r="AK32" s="2269"/>
      <c r="AL32" s="2269"/>
      <c r="AM32" s="2269"/>
      <c r="AN32" s="2269"/>
      <c r="AO32" s="2269"/>
      <c r="AP32" s="2269"/>
      <c r="AQ32" s="328"/>
      <c r="AR32" s="328"/>
      <c r="AS32" s="282"/>
      <c r="AT32" s="370"/>
      <c r="AU32" s="370"/>
      <c r="AV32" s="370"/>
      <c r="AW32" s="370"/>
      <c r="AX32" s="370"/>
      <c r="AY32" s="420">
        <v>0</v>
      </c>
    </row>
    <row s="1852" customFormat="1" customHeight="1" ht="18.75" hidden="1">
      <c r="A33" s="1370"/>
      <c r="B33" s="1370"/>
      <c r="C33" s="1370"/>
      <c r="D33" s="1370"/>
      <c r="E33" s="1370"/>
      <c r="F33" s="1370"/>
      <c r="G33" s="1370"/>
      <c r="H33" s="1370"/>
      <c r="I33" s="1370"/>
      <c r="J33" s="1370"/>
      <c r="K33" s="1370"/>
      <c r="L33" s="1371"/>
      <c r="M33" s="1370"/>
      <c r="N33" s="1370"/>
      <c r="O33" s="1370"/>
      <c r="S33" s="2268" t="str">
        <f>"Номер подачи заявления об "&amp;IF(TITLE_DATE_PR_CHANGE="","утверждении","изменении")&amp;" тарифов"</f>
        <v>Номер подачи заявления об утверждении тарифов</v>
      </c>
      <c r="T33" s="2268"/>
      <c r="U33" s="1374"/>
      <c r="V33" s="2270" t="str">
        <f>IF(TITLE_NUMBER_PR_CHANGE="",IF(TITLE_NUMBER_PR="","",TITLE_NUMBER_PR),TITLE_NUMBER_PR_CHANGE)</f>
        <v/>
      </c>
      <c r="W33" s="2270"/>
      <c r="X33" s="2270"/>
      <c r="Y33" s="2270"/>
      <c r="Z33" s="2270"/>
      <c r="AA33" s="2270"/>
      <c r="AB33" s="2270"/>
      <c r="AC33" s="2270"/>
      <c r="AD33" s="2270"/>
      <c r="AE33" s="2270"/>
      <c r="AF33" s="328"/>
      <c r="AG33" s="2270" t="str">
        <f>IF(TITLE_NUMBER_PR_CHANGE="",IF(TITLE_NUMBER_PR="","",TITLE_NUMBER_PR),TITLE_NUMBER_PR_CHANGE)</f>
        <v/>
      </c>
      <c r="AH33" s="2270"/>
      <c r="AI33" s="2270"/>
      <c r="AJ33" s="2270"/>
      <c r="AK33" s="2270"/>
      <c r="AL33" s="2270"/>
      <c r="AM33" s="2270"/>
      <c r="AN33" s="2270"/>
      <c r="AO33" s="2270"/>
      <c r="AP33" s="2270"/>
      <c r="AQ33" s="328"/>
      <c r="AR33" s="328"/>
      <c r="AS33" s="282"/>
      <c r="AT33" s="370"/>
      <c r="AU33" s="370"/>
      <c r="AV33" s="370"/>
      <c r="AW33" s="370"/>
      <c r="AX33" s="370"/>
      <c r="AY33" s="420">
        <v>0</v>
      </c>
    </row>
    <row s="1852"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418</v>
      </c>
      <c r="AG34" s="328"/>
      <c r="AH34" s="1637"/>
      <c r="AI34" s="1637"/>
      <c r="AJ34" s="1637"/>
      <c r="AK34" s="1637"/>
      <c r="AL34" s="1637"/>
      <c r="AM34" s="328"/>
      <c r="AN34" s="328"/>
      <c r="AO34" s="328"/>
      <c r="AP34" s="328"/>
      <c r="AQ34" s="280" t="s">
        <v>418</v>
      </c>
      <c r="AT34" s="370"/>
      <c r="AU34" s="370"/>
      <c r="AV34" s="370"/>
      <c r="AW34" s="370"/>
      <c r="AX34" s="370"/>
      <c r="AY34" s="420">
        <v>1</v>
      </c>
    </row>
    <row customHeight="1" ht="14.699999999999998">
      <c r="Q35" s="378"/>
      <c r="R35" s="378"/>
      <c r="S35" s="1277"/>
      <c r="T35" s="365"/>
      <c r="U35" s="1246"/>
      <c r="V35" s="2294"/>
      <c r="W35" s="2294"/>
      <c r="X35" s="2294"/>
      <c r="Y35" s="2294"/>
      <c r="Z35" s="2294"/>
      <c r="AA35" s="2294"/>
      <c r="AB35" s="2294"/>
      <c r="AC35" s="2294"/>
      <c r="AD35" s="2294"/>
      <c r="AE35" s="2294"/>
      <c r="AF35" s="2294"/>
      <c r="AG35" s="2294"/>
      <c r="AH35" s="2294"/>
      <c r="AI35" s="2294"/>
      <c r="AJ35" s="2294"/>
      <c r="AK35" s="2294"/>
      <c r="AL35" s="2294"/>
      <c r="AM35" s="2294"/>
      <c r="AN35" s="2294"/>
      <c r="AO35" s="2294"/>
      <c r="AP35" s="2294"/>
      <c r="AQ35" s="2294"/>
      <c r="AY35" s="1157">
        <v>14</v>
      </c>
    </row>
    <row customHeight="1" ht="14.699999999999998">
      <c r="Q36" s="378"/>
      <c r="R36" s="378"/>
      <c r="S36" s="2140" t="s">
        <v>295</v>
      </c>
      <c r="T36" s="2140"/>
      <c r="U36" s="2140"/>
      <c r="V36" s="2140"/>
      <c r="W36" s="2140"/>
      <c r="X36" s="2140"/>
      <c r="Y36" s="2140"/>
      <c r="Z36" s="2140"/>
      <c r="AA36" s="2140"/>
      <c r="AB36" s="2140"/>
      <c r="AC36" s="2140"/>
      <c r="AD36" s="2140"/>
      <c r="AE36" s="2140"/>
      <c r="AF36" s="2140"/>
      <c r="AG36" s="2140"/>
      <c r="AH36" s="2140"/>
      <c r="AI36" s="2140"/>
      <c r="AJ36" s="2140"/>
      <c r="AK36" s="2140"/>
      <c r="AL36" s="2140"/>
      <c r="AM36" s="2140"/>
      <c r="AN36" s="2140"/>
      <c r="AO36" s="2140"/>
      <c r="AP36" s="2140"/>
      <c r="AQ36" s="2140"/>
      <c r="AR36" s="2140"/>
      <c r="AS36" s="2140" t="s">
        <v>296</v>
      </c>
      <c r="AY36" s="1157">
        <v>14</v>
      </c>
    </row>
    <row customHeight="1" ht="14.699999999999998">
      <c r="Q37" s="378"/>
      <c r="R37" s="378"/>
      <c r="S37" s="2295" t="s">
        <v>88</v>
      </c>
      <c r="T37" s="2232" t="s">
        <v>419</v>
      </c>
      <c r="U37" s="303"/>
      <c r="V37" s="2296" t="s">
        <v>420</v>
      </c>
      <c r="W37" s="2297"/>
      <c r="X37" s="2297"/>
      <c r="Y37" s="2297"/>
      <c r="Z37" s="2297"/>
      <c r="AA37" s="2297"/>
      <c r="AB37" s="2297"/>
      <c r="AC37" s="2297"/>
      <c r="AD37" s="2297"/>
      <c r="AE37" s="2298"/>
      <c r="AF37" s="2299" t="s">
        <v>421</v>
      </c>
      <c r="AG37" s="2296" t="s">
        <v>420</v>
      </c>
      <c r="AH37" s="2297"/>
      <c r="AI37" s="2297"/>
      <c r="AJ37" s="2297"/>
      <c r="AK37" s="2297"/>
      <c r="AL37" s="2297"/>
      <c r="AM37" s="2297"/>
      <c r="AN37" s="2297"/>
      <c r="AO37" s="2297"/>
      <c r="AP37" s="2298"/>
      <c r="AQ37" s="2299" t="s">
        <v>422</v>
      </c>
      <c r="AR37" s="2302" t="s">
        <v>423</v>
      </c>
      <c r="AS37" s="2140"/>
      <c r="AY37" s="1157">
        <v>14</v>
      </c>
    </row>
    <row s="1637" customFormat="1" customHeight="1" ht="19.95">
      <c r="A38" s="1368"/>
      <c r="B38" s="1368"/>
      <c r="C38" s="1368"/>
      <c r="D38" s="1368"/>
      <c r="E38" s="1368"/>
      <c r="F38" s="1368"/>
      <c r="G38" s="1368"/>
      <c r="H38" s="1368"/>
      <c r="I38" s="1368"/>
      <c r="J38" s="1368"/>
      <c r="K38" s="1368"/>
      <c r="L38" s="1979"/>
      <c r="M38" s="1364"/>
      <c r="N38" s="1364"/>
      <c r="O38" s="1364"/>
      <c r="P38" s="1980"/>
      <c r="Q38" s="378"/>
      <c r="R38" s="378"/>
      <c r="S38" s="2295"/>
      <c r="T38" s="2232"/>
      <c r="U38" s="1033"/>
      <c r="V38" s="2390" t="s">
        <v>525</v>
      </c>
      <c r="W38" s="2391" t="s">
        <v>526</v>
      </c>
      <c r="X38" s="2391"/>
      <c r="Y38" s="2391"/>
      <c r="Z38" s="2391" t="s">
        <v>527</v>
      </c>
      <c r="AA38" s="2391"/>
      <c r="AB38" s="2391"/>
      <c r="AC38" s="2316" t="s">
        <v>427</v>
      </c>
      <c r="AD38" s="2341"/>
      <c r="AE38" s="2342"/>
      <c r="AF38" s="2300"/>
      <c r="AG38" s="2390" t="s">
        <v>525</v>
      </c>
      <c r="AH38" s="2391" t="s">
        <v>526</v>
      </c>
      <c r="AI38" s="2391"/>
      <c r="AJ38" s="2391"/>
      <c r="AK38" s="2391" t="s">
        <v>527</v>
      </c>
      <c r="AL38" s="2391"/>
      <c r="AM38" s="2391"/>
      <c r="AN38" s="2316" t="s">
        <v>427</v>
      </c>
      <c r="AO38" s="2341"/>
      <c r="AP38" s="2342"/>
      <c r="AQ38" s="2300"/>
      <c r="AR38" s="2303"/>
      <c r="AS38" s="2140"/>
      <c r="AT38" s="1638"/>
      <c r="AU38" s="1638"/>
      <c r="AV38" s="1638"/>
      <c r="AW38" s="1638"/>
      <c r="AX38" s="1638"/>
      <c r="AY38" s="1633">
        <v>19</v>
      </c>
    </row>
    <row customHeight="1" ht="19.95">
      <c r="Q39" s="378"/>
      <c r="R39" s="378"/>
      <c r="S39" s="2295"/>
      <c r="T39" s="2232"/>
      <c r="U39" s="1033"/>
      <c r="V39" s="2390"/>
      <c r="W39" s="2391" t="s">
        <v>528</v>
      </c>
      <c r="X39" s="2391" t="s">
        <v>529</v>
      </c>
      <c r="Y39" s="2391"/>
      <c r="Z39" s="2391" t="s">
        <v>530</v>
      </c>
      <c r="AA39" s="2391" t="s">
        <v>529</v>
      </c>
      <c r="AB39" s="2391"/>
      <c r="AC39" s="2317"/>
      <c r="AD39" s="2343"/>
      <c r="AE39" s="2344"/>
      <c r="AF39" s="2300"/>
      <c r="AG39" s="2390"/>
      <c r="AH39" s="2391" t="s">
        <v>528</v>
      </c>
      <c r="AI39" s="2391" t="s">
        <v>529</v>
      </c>
      <c r="AJ39" s="2391"/>
      <c r="AK39" s="2391" t="s">
        <v>530</v>
      </c>
      <c r="AL39" s="2391" t="s">
        <v>529</v>
      </c>
      <c r="AM39" s="2391"/>
      <c r="AN39" s="2317"/>
      <c r="AO39" s="2343"/>
      <c r="AP39" s="2344"/>
      <c r="AQ39" s="2300"/>
      <c r="AR39" s="2303"/>
      <c r="AS39" s="2140"/>
      <c r="AY39" s="1157">
        <v>19</v>
      </c>
    </row>
    <row customHeight="1" ht="61.949999999999996">
      <c r="A40" s="1372"/>
      <c r="B40" s="1372" t="s">
        <v>132</v>
      </c>
      <c r="C40" s="1372" t="s">
        <v>133</v>
      </c>
      <c r="D40" s="1372" t="s">
        <v>134</v>
      </c>
      <c r="E40" s="1366" t="s">
        <v>428</v>
      </c>
      <c r="F40" s="1366" t="s">
        <v>429</v>
      </c>
      <c r="G40" s="1366" t="s">
        <v>430</v>
      </c>
      <c r="H40" s="1366"/>
      <c r="I40" s="1366" t="s">
        <v>483</v>
      </c>
      <c r="J40" s="1366" t="s">
        <v>433</v>
      </c>
      <c r="K40" s="1366" t="s">
        <v>484</v>
      </c>
      <c r="L40" s="1366" t="s">
        <v>413</v>
      </c>
      <c r="Q40" s="378"/>
      <c r="R40" s="378"/>
      <c r="S40" s="2295"/>
      <c r="T40" s="2232"/>
      <c r="U40" s="304"/>
      <c r="V40" s="2390"/>
      <c r="W40" s="2391"/>
      <c r="X40" s="1982" t="s">
        <v>531</v>
      </c>
      <c r="Y40" s="1982" t="s">
        <v>532</v>
      </c>
      <c r="Z40" s="2391"/>
      <c r="AA40" s="1982" t="s">
        <v>533</v>
      </c>
      <c r="AB40" s="1982" t="s">
        <v>534</v>
      </c>
      <c r="AC40" s="1491" t="s">
        <v>437</v>
      </c>
      <c r="AD40" s="2291" t="s">
        <v>438</v>
      </c>
      <c r="AE40" s="2292"/>
      <c r="AF40" s="2301"/>
      <c r="AG40" s="2390"/>
      <c r="AH40" s="2391"/>
      <c r="AI40" s="1982" t="s">
        <v>531</v>
      </c>
      <c r="AJ40" s="1982" t="s">
        <v>532</v>
      </c>
      <c r="AK40" s="2391"/>
      <c r="AL40" s="1982" t="s">
        <v>533</v>
      </c>
      <c r="AM40" s="1982" t="s">
        <v>534</v>
      </c>
      <c r="AN40" s="1491" t="s">
        <v>437</v>
      </c>
      <c r="AO40" s="2291" t="s">
        <v>438</v>
      </c>
      <c r="AP40" s="2292"/>
      <c r="AQ40" s="2301"/>
      <c r="AR40" s="2304"/>
      <c r="AS40" s="2140"/>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106</v>
      </c>
      <c r="T41" s="1257" t="s">
        <v>107</v>
      </c>
      <c r="U41" s="1247" t="str">
        <f>OFFSET(U41,0,-1)</f>
        <v>2</v>
      </c>
      <c r="V41" s="1484">
        <f>OFFSET(V41,0,-1)+1</f>
        <v>3</v>
      </c>
      <c r="W41" s="1978"/>
      <c r="X41" s="1978"/>
      <c r="Y41" s="1978"/>
      <c r="Z41" s="1978"/>
      <c r="AA41" s="1978"/>
      <c r="AB41" s="1484">
        <f>OFFSET(AB41,0,-1)+1</f>
        <v>1</v>
      </c>
      <c r="AC41" s="1484">
        <f>OFFSET(AC41,0,-1)+1</f>
        <v>2</v>
      </c>
      <c r="AD41" s="2293">
        <f>OFFSET(AD41,0,-1)+1</f>
        <v>3</v>
      </c>
      <c r="AE41" s="2293"/>
      <c r="AF41" s="1484">
        <f>OFFSET(AF41,0,-2)+1</f>
        <v>4</v>
      </c>
      <c r="AG41" s="1484">
        <f>OFFSET(AG41,0,-1)+1</f>
        <v>5</v>
      </c>
      <c r="AH41" s="1978"/>
      <c r="AI41" s="1978"/>
      <c r="AJ41" s="1978"/>
      <c r="AK41" s="1978"/>
      <c r="AL41" s="1978"/>
      <c r="AM41" s="1484">
        <f>OFFSET(AM41,0,-1)+1</f>
        <v>1</v>
      </c>
      <c r="AN41" s="1484">
        <f>OFFSET(AN41,0,-1)+1</f>
        <v>2</v>
      </c>
      <c r="AO41" s="2293">
        <f>OFFSET(AO41,0,-1)+1</f>
        <v>3</v>
      </c>
      <c r="AP41" s="2293"/>
      <c r="AQ41" s="1484">
        <f>OFFSET(AQ41,0,-2)+1</f>
        <v>4</v>
      </c>
      <c r="AR41" s="1247">
        <f>OFFSET(AR41,0,-1)</f>
        <v>4</v>
      </c>
      <c r="AS41" s="1484">
        <f>OFFSET(AS41,0,-1)+1</f>
        <v>5</v>
      </c>
      <c r="AT41" s="513"/>
      <c r="AU41" s="513"/>
      <c r="AV41" s="513"/>
      <c r="AW41" s="513"/>
      <c r="AX41" s="513"/>
      <c r="AY41" s="498">
        <v>0</v>
      </c>
    </row>
    <row customHeight="1" ht="24">
      <c r="A42" s="1365" t="s">
        <v>251</v>
      </c>
      <c r="B42" s="1365"/>
      <c r="C42" s="1365"/>
      <c r="D42" s="1365"/>
      <c r="E42" s="2277">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120</v>
      </c>
      <c r="U42" s="302"/>
      <c r="V42" s="2271"/>
      <c r="W42" s="2272"/>
      <c r="X42" s="2272"/>
      <c r="Y42" s="2272"/>
      <c r="Z42" s="2272"/>
      <c r="AA42" s="2272"/>
      <c r="AB42" s="2272"/>
      <c r="AC42" s="2272"/>
      <c r="AD42" s="2272"/>
      <c r="AE42" s="2272"/>
      <c r="AF42" s="2273"/>
      <c r="AG42" s="2271" t="str">
        <f>INDEX(PT_DIFFERENTIATION_NTAR,MATCH(A42,PT_DIFFERENTIATION_NTAR_ID,0))</f>
        <v/>
      </c>
      <c r="AH42" s="2272"/>
      <c r="AI42" s="2272"/>
      <c r="AJ42" s="2272"/>
      <c r="AK42" s="2272"/>
      <c r="AL42" s="2272"/>
      <c r="AM42" s="2272"/>
      <c r="AN42" s="2272"/>
      <c r="AO42" s="2272"/>
      <c r="AP42" s="2272"/>
      <c r="AQ42" s="2272"/>
      <c r="AR42" s="2273"/>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251</v>
      </c>
      <c r="B43" s="1365" t="s">
        <v>252</v>
      </c>
      <c r="C43" s="1365"/>
      <c r="D43" s="1365"/>
      <c r="E43" s="2278"/>
      <c r="F43" s="2277">
        <v>1</v>
      </c>
      <c r="G43" s="1365"/>
      <c r="H43" s="1365"/>
      <c r="I43" s="1365"/>
      <c r="J43" s="1365"/>
      <c r="K43" s="1365"/>
      <c r="L43" s="1366"/>
      <c r="M43" s="1367"/>
      <c r="N43" s="1367"/>
      <c r="O43" s="1367"/>
      <c r="P43" s="1489"/>
      <c r="Q43" s="354"/>
      <c r="R43" s="355"/>
      <c r="S43" s="1495" t="str">
        <f>INDEX(PT_DIFFERENTIATION_NUM_TER,MATCH(B43,PT_DIFFERENTIATION_TER_ID,0))</f>
        <v>.</v>
      </c>
      <c r="T43" s="310" t="s">
        <v>392</v>
      </c>
      <c r="U43" s="302"/>
      <c r="V43" s="2271"/>
      <c r="W43" s="2272"/>
      <c r="X43" s="2272"/>
      <c r="Y43" s="2272"/>
      <c r="Z43" s="2272"/>
      <c r="AA43" s="2272"/>
      <c r="AB43" s="2272"/>
      <c r="AC43" s="2272"/>
      <c r="AD43" s="2272"/>
      <c r="AE43" s="2272"/>
      <c r="AF43" s="2273"/>
      <c r="AG43" s="2271" t="str">
        <f>INDEX(PT_DIFFERENTIATION_TER,MATCH(B43,PT_DIFFERENTIATION_TER_ID,0))</f>
        <v/>
      </c>
      <c r="AH43" s="2272"/>
      <c r="AI43" s="2272"/>
      <c r="AJ43" s="2272"/>
      <c r="AK43" s="2272"/>
      <c r="AL43" s="2272"/>
      <c r="AM43" s="2272"/>
      <c r="AN43" s="2272"/>
      <c r="AO43" s="2272"/>
      <c r="AP43" s="2272"/>
      <c r="AQ43" s="2272"/>
      <c r="AR43" s="2273"/>
      <c r="AS43" s="1260" t="s">
        <v>393</v>
      </c>
      <c r="AU43" s="502"/>
      <c r="AV43" s="502" t="str">
        <f>IF(T43="","",T43)</f>
        <v>Территория действия тарифа</v>
      </c>
      <c r="AW43" s="502"/>
      <c r="AX43" s="502"/>
      <c r="AY43" s="1157">
        <v>23</v>
      </c>
    </row>
    <row customHeight="1" ht="24">
      <c r="A44" s="1365" t="s">
        <v>251</v>
      </c>
      <c r="B44" s="1365" t="s">
        <v>252</v>
      </c>
      <c r="C44" s="1365" t="s">
        <v>253</v>
      </c>
      <c r="D44" s="1365"/>
      <c r="E44" s="2278"/>
      <c r="F44" s="2278"/>
      <c r="G44" s="2277">
        <v>1</v>
      </c>
      <c r="H44" s="1365"/>
      <c r="I44" s="1365"/>
      <c r="J44" s="1365"/>
      <c r="K44" s="1365"/>
      <c r="L44" s="1366"/>
      <c r="M44" s="1367"/>
      <c r="N44" s="1367"/>
      <c r="O44" s="1367"/>
      <c r="P44" s="356"/>
      <c r="Q44" s="354"/>
      <c r="R44" s="355"/>
      <c r="S44" s="1495" t="str">
        <f>INDEX(PT_DIFFERENTIATION_NUM_CS,MATCH(C44,PT_DIFFERENTIATION_CS_ID,0))</f>
        <v>..</v>
      </c>
      <c r="T44" s="311" t="s">
        <v>523</v>
      </c>
      <c r="U44" s="302"/>
      <c r="V44" s="2271"/>
      <c r="W44" s="2272"/>
      <c r="X44" s="2272"/>
      <c r="Y44" s="2272"/>
      <c r="Z44" s="2272"/>
      <c r="AA44" s="2272"/>
      <c r="AB44" s="2272"/>
      <c r="AC44" s="2272"/>
      <c r="AD44" s="2272"/>
      <c r="AE44" s="2272"/>
      <c r="AF44" s="2273"/>
      <c r="AG44" s="2271" t="str">
        <f>INDEX(PT_DIFFERENTIATION_CS,MATCH(C44,PT_DIFFERENTIATION_CS_ID,0))</f>
        <v/>
      </c>
      <c r="AH44" s="2272"/>
      <c r="AI44" s="2272"/>
      <c r="AJ44" s="2272"/>
      <c r="AK44" s="2272"/>
      <c r="AL44" s="2272"/>
      <c r="AM44" s="2272"/>
      <c r="AN44" s="2272"/>
      <c r="AO44" s="2272"/>
      <c r="AP44" s="2272"/>
      <c r="AQ44" s="2272"/>
      <c r="AR44" s="2273"/>
      <c r="AS44" s="1260" t="s">
        <v>524</v>
      </c>
      <c r="AU44" s="502"/>
      <c r="AV44" s="502" t="str">
        <f>IF(T44="","",T44)</f>
        <v>Наименование централизованной системы горячего водоснабжения</v>
      </c>
      <c r="AW44" s="502"/>
      <c r="AX44" s="502"/>
      <c r="AY44" s="1157">
        <v>23</v>
      </c>
    </row>
    <row customHeight="1" ht="24">
      <c r="A45" s="1365" t="s">
        <v>251</v>
      </c>
      <c r="B45" s="1365" t="s">
        <v>252</v>
      </c>
      <c r="C45" s="1365" t="s">
        <v>253</v>
      </c>
      <c r="D45" s="1365" t="s">
        <v>536</v>
      </c>
      <c r="E45" s="2278"/>
      <c r="F45" s="2278"/>
      <c r="G45" s="2278"/>
      <c r="H45" s="2278"/>
      <c r="I45" s="2279" t="str">
        <f>S44&amp;".1"</f>
        <v>...1</v>
      </c>
      <c r="J45" s="1365"/>
      <c r="K45" s="1365"/>
      <c r="L45" s="1366"/>
      <c r="P45" s="2281">
        <v>1</v>
      </c>
      <c r="Q45" s="1483"/>
      <c r="R45" s="358"/>
      <c r="S45" s="1495" t="str">
        <f>$I45</f>
        <v>...1</v>
      </c>
      <c r="T45" s="287" t="s">
        <v>476</v>
      </c>
      <c r="U45" s="302"/>
      <c r="V45" s="2375"/>
      <c r="W45" s="2376"/>
      <c r="X45" s="2376"/>
      <c r="Y45" s="2376"/>
      <c r="Z45" s="2376"/>
      <c r="AA45" s="2376"/>
      <c r="AB45" s="2376"/>
      <c r="AC45" s="2376"/>
      <c r="AD45" s="2376"/>
      <c r="AE45" s="2376"/>
      <c r="AF45" s="2377"/>
      <c r="AG45" s="2378"/>
      <c r="AH45" s="2379"/>
      <c r="AI45" s="2379"/>
      <c r="AJ45" s="2379"/>
      <c r="AK45" s="2379"/>
      <c r="AL45" s="2379"/>
      <c r="AM45" s="2379"/>
      <c r="AN45" s="2379"/>
      <c r="AO45" s="2379"/>
      <c r="AP45" s="2379"/>
      <c r="AQ45" s="2379"/>
      <c r="AR45" s="2380"/>
      <c r="AS45" s="1260" t="s">
        <v>477</v>
      </c>
      <c r="AU45" s="502"/>
      <c r="AV45" s="502" t="str">
        <f>IF(T45="","",T45)</f>
        <v>Наименование признака дифференциации</v>
      </c>
      <c r="AW45" s="502"/>
      <c r="AX45" s="502"/>
      <c r="AY45" s="1157">
        <v>23</v>
      </c>
    </row>
    <row customHeight="1" ht="24">
      <c r="A46" s="1365" t="s">
        <v>251</v>
      </c>
      <c r="B46" s="1365" t="s">
        <v>252</v>
      </c>
      <c r="C46" s="1365" t="s">
        <v>253</v>
      </c>
      <c r="D46" s="1365" t="s">
        <v>536</v>
      </c>
      <c r="E46" s="2278"/>
      <c r="F46" s="2278"/>
      <c r="G46" s="2278"/>
      <c r="H46" s="2278"/>
      <c r="I46" s="2280"/>
      <c r="J46" s="2279" t="str">
        <f>I45&amp;".1"</f>
        <v>...1.1</v>
      </c>
      <c r="K46" s="1365"/>
      <c r="L46" s="1366" t="s">
        <v>401</v>
      </c>
      <c r="P46" s="2281"/>
      <c r="Q46" s="2281">
        <v>1</v>
      </c>
      <c r="R46" s="359"/>
      <c r="S46" s="1495" t="str">
        <f>$J46</f>
        <v>...1.1</v>
      </c>
      <c r="T46" s="288" t="s">
        <v>402</v>
      </c>
      <c r="U46" s="302"/>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309" t="s">
        <v>478</v>
      </c>
      <c r="AU46" s="502"/>
      <c r="AV46" s="502" t="str">
        <f>IF(T46="","",T46)</f>
        <v>Группа потребителей</v>
      </c>
      <c r="AW46" s="502"/>
      <c r="AX46" s="502"/>
      <c r="AY46" s="1157">
        <v>23</v>
      </c>
    </row>
    <row customHeight="1" ht="24">
      <c r="A47" s="1365" t="s">
        <v>251</v>
      </c>
      <c r="B47" s="1365" t="s">
        <v>252</v>
      </c>
      <c r="C47" s="1365" t="s">
        <v>253</v>
      </c>
      <c r="D47" s="1365" t="s">
        <v>536</v>
      </c>
      <c r="E47" s="2278"/>
      <c r="F47" s="2278"/>
      <c r="G47" s="2278"/>
      <c r="H47" s="2278"/>
      <c r="I47" s="2280"/>
      <c r="J47" s="2280"/>
      <c r="K47" s="2279" t="str">
        <f>J46&amp;".1"</f>
        <v>...1.1.1</v>
      </c>
      <c r="L47" s="1366"/>
      <c r="P47" s="2281"/>
      <c r="Q47" s="2281"/>
      <c r="R47" s="359">
        <v>1</v>
      </c>
      <c r="S47" s="1495" t="str">
        <f>$K47</f>
        <v>...1.1.1</v>
      </c>
      <c r="T47" s="1439"/>
      <c r="U47" s="302"/>
      <c r="V47" s="1362"/>
      <c r="W47" s="1362"/>
      <c r="X47" s="1362"/>
      <c r="Y47" s="1362"/>
      <c r="Z47" s="1362"/>
      <c r="AA47" s="1362"/>
      <c r="AB47" s="1363"/>
      <c r="AC47" s="2275"/>
      <c r="AD47" s="2274" t="s">
        <v>65</v>
      </c>
      <c r="AE47" s="2275"/>
      <c r="AF47" s="2274" t="s">
        <v>65</v>
      </c>
      <c r="AG47" s="753"/>
      <c r="AH47" s="753"/>
      <c r="AI47" s="753"/>
      <c r="AJ47" s="753"/>
      <c r="AK47" s="753"/>
      <c r="AL47" s="753"/>
      <c r="AM47" s="1259"/>
      <c r="AN47" s="2282"/>
      <c r="AO47" s="2150" t="s">
        <v>65</v>
      </c>
      <c r="AP47" s="2284"/>
      <c r="AQ47" s="2150" t="s">
        <v>19</v>
      </c>
      <c r="AR47" s="1440"/>
      <c r="AS47" s="23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251</v>
      </c>
      <c r="B48" s="1365" t="s">
        <v>252</v>
      </c>
      <c r="C48" s="1365" t="s">
        <v>253</v>
      </c>
      <c r="D48" s="1365" t="s">
        <v>536</v>
      </c>
      <c r="E48" s="2278"/>
      <c r="F48" s="2278"/>
      <c r="G48" s="2278"/>
      <c r="H48" s="2278"/>
      <c r="I48" s="2280"/>
      <c r="J48" s="2280"/>
      <c r="K48" s="2279"/>
      <c r="L48" s="1366"/>
      <c r="P48" s="2281"/>
      <c r="Q48" s="2281"/>
      <c r="R48" s="359"/>
      <c r="S48" s="1492"/>
      <c r="T48" s="302"/>
      <c r="U48" s="302"/>
      <c r="V48" s="1362"/>
      <c r="W48" s="1362"/>
      <c r="X48" s="1362"/>
      <c r="Y48" s="1362"/>
      <c r="Z48" s="1362"/>
      <c r="AA48" s="1362"/>
      <c r="AB48" s="330" t="str">
        <f>AC47&amp;"-"&amp;AE47</f>
        <v>-</v>
      </c>
      <c r="AC48" s="2274"/>
      <c r="AD48" s="2274"/>
      <c r="AE48" s="2274"/>
      <c r="AF48" s="2274"/>
      <c r="AG48" s="327"/>
      <c r="AH48" s="327"/>
      <c r="AI48" s="327"/>
      <c r="AJ48" s="327"/>
      <c r="AK48" s="327"/>
      <c r="AL48" s="327"/>
      <c r="AM48" s="330" t="str">
        <f>AN47&amp;"-"&amp;AP47</f>
        <v>-</v>
      </c>
      <c r="AN48" s="2283"/>
      <c r="AO48" s="2150"/>
      <c r="AP48" s="2285"/>
      <c r="AQ48" s="2150"/>
      <c r="AR48" s="1441"/>
      <c r="AS48" s="2381"/>
      <c r="AU48" s="502"/>
      <c r="AV48" s="502" t="str">
        <f>IF(T48="","",T48)</f>
        <v/>
      </c>
      <c r="AW48" s="502"/>
      <c r="AX48" s="502"/>
      <c r="AY48" s="1157">
        <v>0</v>
      </c>
    </row>
    <row customHeight="1" ht="21">
      <c r="A49" s="1365" t="s">
        <v>251</v>
      </c>
      <c r="B49" s="1365" t="s">
        <v>252</v>
      </c>
      <c r="C49" s="1365" t="s">
        <v>253</v>
      </c>
      <c r="D49" s="1365" t="s">
        <v>536</v>
      </c>
      <c r="E49" s="2278"/>
      <c r="F49" s="2278"/>
      <c r="G49" s="2278"/>
      <c r="H49" s="2278"/>
      <c r="I49" s="2280"/>
      <c r="J49" s="2279"/>
      <c r="K49" s="1365"/>
      <c r="L49" s="1366"/>
      <c r="P49" s="2281"/>
      <c r="Q49" s="2281"/>
      <c r="R49" s="358"/>
      <c r="S49" s="1280"/>
      <c r="T49" s="289" t="s">
        <v>479</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480</v>
      </c>
      <c r="AU49" s="502"/>
      <c r="AV49" s="502" t="str">
        <f>IF(T49="","",T49)</f>
        <v>Добавить значение признака дифференциации</v>
      </c>
      <c r="AW49" s="502"/>
      <c r="AX49" s="502"/>
      <c r="AY49" s="1157">
        <v>20</v>
      </c>
    </row>
    <row customHeight="1" ht="22.049999999999997">
      <c r="A50" s="1365" t="s">
        <v>251</v>
      </c>
      <c r="B50" s="1365" t="s">
        <v>252</v>
      </c>
      <c r="C50" s="1365" t="s">
        <v>253</v>
      </c>
      <c r="D50" s="1365" t="s">
        <v>536</v>
      </c>
      <c r="E50" s="2278"/>
      <c r="F50" s="2278"/>
      <c r="G50" s="2278"/>
      <c r="H50" s="2278"/>
      <c r="I50" s="2279"/>
      <c r="J50" s="1365"/>
      <c r="K50" s="1365"/>
      <c r="L50" s="1366"/>
      <c r="P50" s="2281"/>
      <c r="Q50" s="1483"/>
      <c r="R50" s="358"/>
      <c r="S50" s="1280"/>
      <c r="T50" s="367" t="s">
        <v>407</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251</v>
      </c>
      <c r="B51" s="1365" t="s">
        <v>252</v>
      </c>
      <c r="C51" s="1365" t="s">
        <v>253</v>
      </c>
      <c r="D51" s="1365" t="s">
        <v>536</v>
      </c>
      <c r="E51" s="2278"/>
      <c r="F51" s="2278"/>
      <c r="G51" s="2278"/>
      <c r="H51" s="2277"/>
      <c r="I51" s="1365"/>
      <c r="J51" s="1365"/>
      <c r="K51" s="1365"/>
      <c r="L51" s="1366"/>
      <c r="M51" s="1367"/>
      <c r="N51" s="1367"/>
      <c r="O51" s="539"/>
      <c r="P51" s="362"/>
      <c r="Q51" s="377"/>
      <c r="R51" s="357"/>
      <c r="S51" s="1280"/>
      <c r="T51" s="374" t="s">
        <v>481</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251</v>
      </c>
      <c r="B52" s="1345" t="s">
        <v>252</v>
      </c>
      <c r="C52" s="1316"/>
      <c r="D52" s="1316"/>
      <c r="E52" s="2278"/>
      <c r="F52" s="2277"/>
      <c r="G52" s="1316"/>
      <c r="H52" s="1316"/>
      <c r="I52" s="1316"/>
      <c r="J52" s="1316"/>
      <c r="K52" s="1316"/>
      <c r="L52" s="1496"/>
      <c r="M52" s="1323"/>
      <c r="N52" s="1323"/>
      <c r="P52" s="1318"/>
      <c r="Q52" s="1319"/>
      <c r="R52" s="1318"/>
      <c r="S52" s="1324"/>
      <c r="T52" s="1327" t="s">
        <v>410</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251</v>
      </c>
      <c r="B53" s="1345"/>
      <c r="C53" s="1345"/>
      <c r="D53" s="1345"/>
      <c r="E53" s="2277"/>
      <c r="F53" s="1345"/>
      <c r="G53" s="1345"/>
      <c r="H53" s="1345"/>
      <c r="I53" s="1345"/>
      <c r="J53" s="1345"/>
      <c r="K53" s="1345"/>
      <c r="L53" s="1348"/>
      <c r="M53" s="1323"/>
      <c r="N53" s="1323"/>
      <c r="O53" s="520"/>
      <c r="P53" s="382"/>
      <c r="Q53" s="1346"/>
      <c r="R53" s="382"/>
      <c r="S53" s="1324"/>
      <c r="T53" s="1327" t="s">
        <v>411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439</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76"/>
      <c r="U56" s="2276"/>
      <c r="V56" s="2276"/>
      <c r="W56" s="2276"/>
      <c r="X56" s="2276"/>
      <c r="Y56" s="2276"/>
      <c r="Z56" s="2276"/>
      <c r="AA56" s="2276"/>
      <c r="AB56" s="2276"/>
      <c r="AC56" s="2276"/>
      <c r="AD56" s="2276"/>
      <c r="AE56" s="2276"/>
      <c r="AF56" s="2276"/>
      <c r="AG56" s="2276"/>
      <c r="AH56" s="2276"/>
      <c r="AI56" s="2276"/>
      <c r="AJ56" s="2276"/>
      <c r="AK56" s="2276"/>
      <c r="AL56" s="2276"/>
      <c r="AM56" s="2276"/>
      <c r="AN56" s="2276"/>
      <c r="AO56" s="2276"/>
      <c r="AP56" s="2276"/>
      <c r="AQ56" s="2276"/>
      <c r="AR56" s="2276"/>
      <c r="AS56" s="2276"/>
      <c r="AY56" s="1157">
        <v>14</v>
      </c>
    </row>
    <row customHeight="1" ht="14.699999999999998">
      <c r="O57" s="539"/>
      <c r="AY57" s="1157">
        <v>14</v>
      </c>
    </row>
    <row customHeight="1" ht="14.699999999999998">
      <c r="O58" s="539"/>
      <c r="S58" s="1255"/>
      <c r="T58" s="2276"/>
      <c r="U58" s="2276"/>
      <c r="V58" s="2276"/>
      <c r="W58" s="2276"/>
      <c r="X58" s="2276"/>
      <c r="Y58" s="2276"/>
      <c r="Z58" s="2276"/>
      <c r="AA58" s="2276"/>
      <c r="AB58" s="2276"/>
      <c r="AC58" s="2276"/>
      <c r="AD58" s="2276"/>
      <c r="AE58" s="2276"/>
      <c r="AF58" s="2276"/>
      <c r="AG58" s="2276"/>
      <c r="AH58" s="2276"/>
      <c r="AI58" s="2276"/>
      <c r="AJ58" s="2276"/>
      <c r="AK58" s="2276"/>
      <c r="AL58" s="2276"/>
      <c r="AM58" s="2276"/>
      <c r="AN58" s="2276"/>
      <c r="AO58" s="2276"/>
      <c r="AP58" s="2276"/>
      <c r="AQ58" s="2276"/>
      <c r="AR58" s="2276"/>
      <c r="AS58" s="2276"/>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AAAD8-E572-2C48-C456-DDD84C3FA93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28" width="19.140625" hidden="1" customWidth="1"/>
    <col min="13" max="14" style="1777" width="12.28125" hidden="1" customWidth="1"/>
    <col min="15" max="15" style="1777" width="23.421875" hidden="1" customWidth="1"/>
    <col min="16" max="16" style="1777" width="3.7109375" hidden="1" customWidth="1"/>
    <col min="17" max="17" style="1373" width="3.7109375" hidden="1" customWidth="1"/>
    <col min="18" max="18" style="346" width="3.00390625" customWidth="1"/>
    <col min="19" max="19" style="2433"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77">
        <v>1</v>
      </c>
      <c r="F2" s="1365"/>
      <c r="G2" s="1365"/>
      <c r="H2" s="1365"/>
      <c r="I2" s="1365"/>
      <c r="J2" s="1365"/>
      <c r="K2" s="1365"/>
      <c r="L2" s="1366"/>
      <c r="M2" s="1367"/>
      <c r="N2" s="1367"/>
      <c r="O2" s="1367"/>
      <c r="P2" s="1411"/>
      <c r="Q2" s="875"/>
      <c r="R2" s="357"/>
      <c r="S2" s="1495">
        <f>INDEX(PT_DIFFERENTIATION_NUM_NTAR,MATCH(A2,PT_DIFFERENTIATION_NTAR_ID,0))</f>
      </c>
      <c r="T2" s="300" t="s">
        <v>120</v>
      </c>
      <c r="U2" s="302"/>
      <c r="V2" s="2272"/>
      <c r="W2" s="2272"/>
      <c r="X2" s="2272"/>
      <c r="Y2" s="2272"/>
      <c r="Z2" s="2272"/>
      <c r="AA2" s="2272"/>
      <c r="AB2" s="2272"/>
      <c r="AC2" s="2273"/>
      <c r="AD2" s="2271">
        <f>INDEX(PT_DIFFERENTIATION_NTAR,MATCH(A2,PT_DIFFERENTIATION_NTAR_ID,0))</f>
      </c>
      <c r="AE2" s="2272"/>
      <c r="AF2" s="2272"/>
      <c r="AG2" s="2272"/>
      <c r="AH2" s="2272"/>
      <c r="AI2" s="2272"/>
      <c r="AJ2" s="2272"/>
      <c r="AK2" s="2272"/>
      <c r="AL2" s="2272"/>
      <c r="AM2" s="2272"/>
      <c r="AN2" s="2272"/>
      <c r="AO2" s="2272"/>
      <c r="AP2" s="2272"/>
      <c r="AQ2" s="2272"/>
      <c r="AR2" s="2272"/>
      <c r="AS2" s="2272"/>
      <c r="AT2" s="2272"/>
      <c r="AU2" s="2272"/>
      <c r="AV2" s="2272"/>
      <c r="AW2" s="2272"/>
      <c r="AX2" s="2272"/>
      <c r="AY2" s="2272"/>
      <c r="AZ2" s="2272"/>
      <c r="BA2" s="2272"/>
      <c r="BB2" s="2273"/>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78"/>
      <c r="F3" s="2277">
        <v>1</v>
      </c>
      <c r="G3" s="1365"/>
      <c r="H3" s="1365"/>
      <c r="I3" s="1365"/>
      <c r="J3" s="1365"/>
      <c r="K3" s="1365"/>
      <c r="L3" s="1366"/>
      <c r="M3" s="1367"/>
      <c r="N3" s="1367"/>
      <c r="O3" s="1367"/>
      <c r="P3" s="1412"/>
      <c r="Q3" s="1413"/>
      <c r="R3" s="355"/>
      <c r="S3" s="1495">
        <f>INDEX(PT_DIFFERENTIATION_NUM_TER,MATCH(B3,PT_DIFFERENTIATION_TER_ID,0))</f>
      </c>
      <c r="T3" s="310" t="s">
        <v>392</v>
      </c>
      <c r="U3" s="302"/>
      <c r="V3" s="2272"/>
      <c r="W3" s="2272"/>
      <c r="X3" s="2272"/>
      <c r="Y3" s="2272"/>
      <c r="Z3" s="2272"/>
      <c r="AA3" s="2272"/>
      <c r="AB3" s="2272"/>
      <c r="AC3" s="2273"/>
      <c r="AD3" s="2271">
        <f>INDEX(PT_DIFFERENTIATION_TER,MATCH(B3,PT_DIFFERENTIATION_TER_ID,0))</f>
      </c>
      <c r="AE3" s="2272"/>
      <c r="AF3" s="2272"/>
      <c r="AG3" s="2272"/>
      <c r="AH3" s="2272"/>
      <c r="AI3" s="2272"/>
      <c r="AJ3" s="2272"/>
      <c r="AK3" s="2272"/>
      <c r="AL3" s="2272"/>
      <c r="AM3" s="2272"/>
      <c r="AN3" s="2272"/>
      <c r="AO3" s="2272"/>
      <c r="AP3" s="2272"/>
      <c r="AQ3" s="2272"/>
      <c r="AR3" s="2272"/>
      <c r="AS3" s="2272"/>
      <c r="AT3" s="2272"/>
      <c r="AU3" s="2272"/>
      <c r="AV3" s="2272"/>
      <c r="AW3" s="2272"/>
      <c r="AX3" s="2272"/>
      <c r="AY3" s="2272"/>
      <c r="AZ3" s="2272"/>
      <c r="BA3" s="2272"/>
      <c r="BB3" s="2273"/>
      <c r="BC3" s="1260" t="s">
        <v>393</v>
      </c>
      <c r="BE3" s="502"/>
      <c r="BF3" s="502" t="str">
        <f>IF(T3="","",T3)</f>
        <v>Территория действия тарифа</v>
      </c>
      <c r="BG3" s="502"/>
      <c r="BH3" s="502"/>
      <c r="BI3" s="1157">
        <v>0</v>
      </c>
    </row>
    <row customHeight="1" ht="33.75" hidden="1">
      <c r="A4" s="1365"/>
      <c r="B4" s="1365"/>
      <c r="C4" s="1365"/>
      <c r="D4" s="1365"/>
      <c r="E4" s="2278"/>
      <c r="F4" s="2278"/>
      <c r="G4" s="2277">
        <v>1</v>
      </c>
      <c r="H4" s="1365"/>
      <c r="I4" s="1365"/>
      <c r="J4" s="1365"/>
      <c r="K4" s="1365"/>
      <c r="L4" s="1366"/>
      <c r="M4" s="1367"/>
      <c r="N4" s="1367"/>
      <c r="O4" s="1367"/>
      <c r="P4" s="1414"/>
      <c r="Q4" s="1413"/>
      <c r="R4" s="355"/>
      <c r="S4" s="1495">
        <f>INDEX(PT_DIFFERENTIATION_NUM_CS,MATCH(C4,PT_DIFFERENTIATION_CS_ID,0))</f>
      </c>
      <c r="T4" s="311" t="s">
        <v>523</v>
      </c>
      <c r="U4" s="302"/>
      <c r="V4" s="2272"/>
      <c r="W4" s="2272"/>
      <c r="X4" s="2272"/>
      <c r="Y4" s="2272"/>
      <c r="Z4" s="2272"/>
      <c r="AA4" s="2272"/>
      <c r="AB4" s="2272"/>
      <c r="AC4" s="2273"/>
      <c r="AD4" s="2271">
        <f>INDEX(PT_DIFFERENTIATION_CS,MATCH(C4,PT_DIFFERENTIATION_CS_ID,0))</f>
      </c>
      <c r="AE4" s="2272"/>
      <c r="AF4" s="2272"/>
      <c r="AG4" s="2272"/>
      <c r="AH4" s="2272"/>
      <c r="AI4" s="2272"/>
      <c r="AJ4" s="2272"/>
      <c r="AK4" s="2272"/>
      <c r="AL4" s="2272"/>
      <c r="AM4" s="2272"/>
      <c r="AN4" s="2272"/>
      <c r="AO4" s="2272"/>
      <c r="AP4" s="2272"/>
      <c r="AQ4" s="2272"/>
      <c r="AR4" s="2272"/>
      <c r="AS4" s="2272"/>
      <c r="AT4" s="2272"/>
      <c r="AU4" s="2272"/>
      <c r="AV4" s="2272"/>
      <c r="AW4" s="2272"/>
      <c r="AX4" s="2272"/>
      <c r="AY4" s="2272"/>
      <c r="AZ4" s="2272"/>
      <c r="BA4" s="2272"/>
      <c r="BB4" s="2273"/>
      <c r="BC4" s="1260" t="s">
        <v>524</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78"/>
      <c r="F5" s="2278"/>
      <c r="G5" s="2278"/>
      <c r="H5" s="2277">
        <v>1</v>
      </c>
      <c r="I5" s="1345"/>
      <c r="J5" s="1345"/>
      <c r="K5" s="1345"/>
      <c r="L5" s="1348"/>
      <c r="M5" s="1317"/>
      <c r="N5" s="1317"/>
      <c r="O5" s="1317"/>
      <c r="P5" s="1499"/>
      <c r="Q5" s="1500"/>
      <c r="R5" s="359"/>
      <c r="S5" s="1044"/>
      <c r="T5" s="1501"/>
      <c r="U5" s="1386"/>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387" t="s">
        <v>397</v>
      </c>
      <c r="BE5" s="502"/>
      <c r="BF5" s="502" t="str">
        <f>IF(T5="","",T5)</f>
        <v/>
      </c>
      <c r="BG5" s="502"/>
      <c r="BH5" s="502"/>
      <c r="BI5" s="513">
        <v>0</v>
      </c>
    </row>
    <row s="1644" customFormat="1" customHeight="1" ht="14.25" hidden="1">
      <c r="A6" s="1345"/>
      <c r="B6" s="1345"/>
      <c r="C6" s="1345"/>
      <c r="D6" s="1345"/>
      <c r="E6" s="2278"/>
      <c r="F6" s="2278"/>
      <c r="G6" s="2278"/>
      <c r="H6" s="2278"/>
      <c r="I6" s="2279" t="str">
        <f>S5&amp;".1"</f>
        <v>.1</v>
      </c>
      <c r="J6" s="1345"/>
      <c r="K6" s="1345"/>
      <c r="L6" s="1348" t="s">
        <v>398</v>
      </c>
      <c r="M6" s="512"/>
      <c r="N6" s="512"/>
      <c r="O6" s="512"/>
      <c r="P6" s="2281">
        <v>1</v>
      </c>
      <c r="Q6" s="1483"/>
      <c r="R6" s="358"/>
      <c r="S6" s="1044"/>
      <c r="T6" s="1385"/>
      <c r="U6" s="1386"/>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387"/>
      <c r="BE6" s="502"/>
      <c r="BF6" s="502" t="str">
        <f>IF(T6="","",T6)</f>
        <v/>
      </c>
      <c r="BG6" s="502"/>
      <c r="BH6" s="502"/>
      <c r="BI6" s="513">
        <v>0</v>
      </c>
    </row>
    <row s="1644" customFormat="1" customHeight="1" ht="14.25" hidden="1">
      <c r="A7" s="1345"/>
      <c r="B7" s="1345"/>
      <c r="C7" s="1345"/>
      <c r="D7" s="1345"/>
      <c r="E7" s="2278"/>
      <c r="F7" s="2278"/>
      <c r="G7" s="2278"/>
      <c r="H7" s="2278"/>
      <c r="I7" s="2280"/>
      <c r="J7" s="2279" t="str">
        <f>S5&amp;".1"</f>
        <v>.1</v>
      </c>
      <c r="K7" s="1345"/>
      <c r="L7" s="1348"/>
      <c r="M7" s="512"/>
      <c r="N7" s="512"/>
      <c r="O7" s="512"/>
      <c r="P7" s="2281"/>
      <c r="Q7" s="2281">
        <v>1</v>
      </c>
      <c r="R7" s="359"/>
      <c r="S7" s="1044"/>
      <c r="T7" s="1401"/>
      <c r="U7" s="1386"/>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387"/>
      <c r="BE7" s="502"/>
      <c r="BF7" s="502" t="str">
        <f>IF(T7="","",T7)</f>
        <v/>
      </c>
      <c r="BG7" s="502"/>
      <c r="BH7" s="502"/>
      <c r="BI7" s="513">
        <v>0</v>
      </c>
    </row>
    <row customHeight="1" ht="11.25" hidden="1">
      <c r="A8" s="1365"/>
      <c r="B8" s="1365"/>
      <c r="C8" s="1365"/>
      <c r="D8" s="1365"/>
      <c r="E8" s="2278"/>
      <c r="F8" s="2278"/>
      <c r="G8" s="2278"/>
      <c r="H8" s="2278"/>
      <c r="I8" s="2280"/>
      <c r="J8" s="2280"/>
      <c r="K8" s="2279">
        <f>S4&amp;".1"</f>
      </c>
      <c r="L8" s="1366"/>
      <c r="P8" s="2281"/>
      <c r="Q8" s="2281"/>
      <c r="R8" s="2364">
        <v>1</v>
      </c>
      <c r="S8" s="2361">
        <f>$K8</f>
      </c>
      <c r="T8" s="2383"/>
      <c r="U8" s="302"/>
      <c r="V8" s="753"/>
      <c r="W8" s="1259"/>
      <c r="X8" s="753"/>
      <c r="Y8" s="1259"/>
      <c r="Z8" s="1735"/>
      <c r="AA8" s="1471" t="s">
        <v>65</v>
      </c>
      <c r="AB8" s="1735"/>
      <c r="AC8" s="1471" t="s">
        <v>65</v>
      </c>
      <c r="AD8" s="2215" t="s">
        <v>65</v>
      </c>
      <c r="AE8" s="2357"/>
      <c r="AF8" s="2228">
        <v>1</v>
      </c>
      <c r="AG8" s="2382"/>
      <c r="AH8" s="2150" t="s">
        <v>65</v>
      </c>
      <c r="AI8" s="2357"/>
      <c r="AJ8" s="2228">
        <v>1</v>
      </c>
      <c r="AK8" s="2371" t="s">
        <v>22</v>
      </c>
      <c r="AL8" s="2150" t="s">
        <v>65</v>
      </c>
      <c r="AM8" s="2200"/>
      <c r="AN8" s="2228">
        <v>1</v>
      </c>
      <c r="AO8" s="2386"/>
      <c r="AP8" s="2387" t="s">
        <v>65</v>
      </c>
      <c r="AQ8" s="313"/>
      <c r="AR8" s="1488">
        <v>1</v>
      </c>
      <c r="AS8" s="1494" t="s">
        <v>22</v>
      </c>
      <c r="AT8" s="753"/>
      <c r="AU8" s="1259"/>
      <c r="AV8" s="753"/>
      <c r="AW8" s="1259"/>
      <c r="AX8" s="1735"/>
      <c r="AY8" s="1471" t="s">
        <v>65</v>
      </c>
      <c r="AZ8" s="1735"/>
      <c r="BA8" s="1471" t="s">
        <v>65</v>
      </c>
      <c r="BB8" s="1350"/>
      <c r="BC8" s="2307" t="s">
        <v>492</v>
      </c>
      <c r="BE8" s="502"/>
      <c r="BF8" s="502" t="str">
        <f>IF(T8="","",T8)</f>
        <v/>
      </c>
      <c r="BG8" s="502"/>
      <c r="BH8" s="502"/>
      <c r="BI8" s="1157">
        <v>0</v>
      </c>
    </row>
    <row customHeight="1" ht="11.25" hidden="1">
      <c r="A9" s="1365"/>
      <c r="B9" s="1365"/>
      <c r="C9" s="1365"/>
      <c r="D9" s="1365"/>
      <c r="E9" s="2278"/>
      <c r="F9" s="2278"/>
      <c r="G9" s="2278"/>
      <c r="H9" s="2278"/>
      <c r="I9" s="2280"/>
      <c r="J9" s="2280"/>
      <c r="K9" s="2279"/>
      <c r="L9" s="1366"/>
      <c r="P9" s="2281"/>
      <c r="Q9" s="2281"/>
      <c r="R9" s="2364"/>
      <c r="S9" s="2362"/>
      <c r="T9" s="2384"/>
      <c r="U9" s="302"/>
      <c r="V9" s="1395"/>
      <c r="W9" s="1498"/>
      <c r="X9" s="1395"/>
      <c r="Y9" s="1498"/>
      <c r="Z9" s="1395"/>
      <c r="AA9" s="1395"/>
      <c r="AB9" s="1395"/>
      <c r="AC9" s="1395"/>
      <c r="AD9" s="2216"/>
      <c r="AE9" s="2357"/>
      <c r="AF9" s="2228"/>
      <c r="AG9" s="2382"/>
      <c r="AH9" s="2150"/>
      <c r="AI9" s="2357"/>
      <c r="AJ9" s="2228"/>
      <c r="AK9" s="2371"/>
      <c r="AL9" s="2150"/>
      <c r="AM9" s="2208"/>
      <c r="AN9" s="2228"/>
      <c r="AO9" s="2386"/>
      <c r="AP9" s="2388"/>
      <c r="AQ9" s="318"/>
      <c r="AR9" s="418"/>
      <c r="AS9" s="418" t="s">
        <v>493</v>
      </c>
      <c r="AT9" s="1395"/>
      <c r="AU9" s="1498"/>
      <c r="AV9" s="1395"/>
      <c r="AW9" s="1498"/>
      <c r="AX9" s="1395"/>
      <c r="AY9" s="1395"/>
      <c r="AZ9" s="1395"/>
      <c r="BA9" s="1395"/>
      <c r="BB9" s="1399"/>
      <c r="BC9" s="2308"/>
      <c r="BE9" s="502"/>
      <c r="BF9" s="502"/>
      <c r="BG9" s="502"/>
      <c r="BH9" s="502"/>
      <c r="BI9" s="1157">
        <v>0</v>
      </c>
    </row>
    <row customHeight="1" ht="11.25" hidden="1">
      <c r="A10" s="1365"/>
      <c r="B10" s="1365"/>
      <c r="C10" s="1365"/>
      <c r="D10" s="1365"/>
      <c r="E10" s="2278"/>
      <c r="F10" s="2278"/>
      <c r="G10" s="2278"/>
      <c r="H10" s="2278"/>
      <c r="I10" s="2280"/>
      <c r="J10" s="2280"/>
      <c r="K10" s="2279"/>
      <c r="L10" s="1366"/>
      <c r="P10" s="2281"/>
      <c r="Q10" s="2281"/>
      <c r="R10" s="2364"/>
      <c r="S10" s="2362"/>
      <c r="T10" s="2384"/>
      <c r="U10" s="302"/>
      <c r="V10" s="1395"/>
      <c r="W10" s="1498"/>
      <c r="X10" s="1395"/>
      <c r="Y10" s="1498"/>
      <c r="Z10" s="1395"/>
      <c r="AA10" s="1395"/>
      <c r="AB10" s="1395"/>
      <c r="AC10" s="1395"/>
      <c r="AD10" s="2216"/>
      <c r="AE10" s="2357"/>
      <c r="AF10" s="2228"/>
      <c r="AG10" s="2382"/>
      <c r="AH10" s="2150"/>
      <c r="AI10" s="2357"/>
      <c r="AJ10" s="2228"/>
      <c r="AK10" s="2371"/>
      <c r="AL10" s="2150"/>
      <c r="AM10" s="318"/>
      <c r="AN10" s="1502"/>
      <c r="AO10" s="1502" t="s">
        <v>494</v>
      </c>
      <c r="AP10" s="418"/>
      <c r="AQ10" s="418"/>
      <c r="AR10" s="418"/>
      <c r="AS10" s="1395"/>
      <c r="AT10" s="1395"/>
      <c r="AU10" s="1498"/>
      <c r="AV10" s="1395"/>
      <c r="AW10" s="1498"/>
      <c r="AX10" s="1395"/>
      <c r="AY10" s="1395"/>
      <c r="AZ10" s="1395"/>
      <c r="BA10" s="1395"/>
      <c r="BB10" s="1399"/>
      <c r="BC10" s="2308"/>
      <c r="BE10" s="502"/>
      <c r="BF10" s="502"/>
      <c r="BG10" s="502"/>
      <c r="BH10" s="502"/>
      <c r="BI10" s="1157">
        <v>0</v>
      </c>
    </row>
    <row customHeight="1" ht="11.25" hidden="1">
      <c r="A11" s="1365"/>
      <c r="B11" s="1365"/>
      <c r="C11" s="1365"/>
      <c r="D11" s="1365"/>
      <c r="E11" s="2278"/>
      <c r="F11" s="2278"/>
      <c r="G11" s="2278"/>
      <c r="H11" s="2278"/>
      <c r="I11" s="2280"/>
      <c r="J11" s="2280"/>
      <c r="K11" s="2279"/>
      <c r="L11" s="1366"/>
      <c r="P11" s="2281"/>
      <c r="Q11" s="2281"/>
      <c r="R11" s="2364"/>
      <c r="S11" s="2362"/>
      <c r="T11" s="2384"/>
      <c r="U11" s="302"/>
      <c r="V11" s="1395"/>
      <c r="W11" s="1498"/>
      <c r="X11" s="1395"/>
      <c r="Y11" s="1498"/>
      <c r="Z11" s="1395"/>
      <c r="AA11" s="1395"/>
      <c r="AB11" s="1395"/>
      <c r="AC11" s="1395"/>
      <c r="AD11" s="2216"/>
      <c r="AE11" s="2357"/>
      <c r="AF11" s="2228"/>
      <c r="AG11" s="2382"/>
      <c r="AH11" s="2150"/>
      <c r="AI11" s="296"/>
      <c r="AJ11" s="417"/>
      <c r="AK11" s="315" t="s">
        <v>495</v>
      </c>
      <c r="AL11" s="1395"/>
      <c r="AM11" s="1395"/>
      <c r="AN11" s="1395"/>
      <c r="AO11" s="1395"/>
      <c r="AP11" s="1395"/>
      <c r="AQ11" s="1395"/>
      <c r="AR11" s="1395"/>
      <c r="AS11" s="1395"/>
      <c r="AT11" s="1395"/>
      <c r="AU11" s="1498"/>
      <c r="AV11" s="1395"/>
      <c r="AW11" s="1498"/>
      <c r="AX11" s="1395"/>
      <c r="AY11" s="1395"/>
      <c r="AZ11" s="1395"/>
      <c r="BA11" s="1395"/>
      <c r="BB11" s="1399"/>
      <c r="BC11" s="2308"/>
      <c r="BE11" s="502"/>
      <c r="BF11" s="502"/>
      <c r="BG11" s="502"/>
      <c r="BH11" s="502"/>
      <c r="BI11" s="1157">
        <v>0</v>
      </c>
    </row>
    <row customHeight="1" ht="11.25" hidden="1">
      <c r="A12" s="1365"/>
      <c r="B12" s="1365"/>
      <c r="C12" s="1365"/>
      <c r="D12" s="1365"/>
      <c r="E12" s="2278"/>
      <c r="F12" s="2278"/>
      <c r="G12" s="2278"/>
      <c r="H12" s="2278"/>
      <c r="I12" s="2280"/>
      <c r="J12" s="2280"/>
      <c r="K12" s="2279"/>
      <c r="L12" s="1366"/>
      <c r="P12" s="2281"/>
      <c r="Q12" s="2281"/>
      <c r="R12" s="2364"/>
      <c r="S12" s="2363"/>
      <c r="T12" s="2385"/>
      <c r="U12" s="302"/>
      <c r="V12" s="1395"/>
      <c r="W12" s="1396" t="str">
        <f>Z8&amp;"-"&amp;AB8</f>
        <v>-</v>
      </c>
      <c r="X12" s="1395"/>
      <c r="Y12" s="1396" t="str">
        <f>AB8&amp;"-"&amp;AD8</f>
        <v>-да</v>
      </c>
      <c r="Z12" s="1395"/>
      <c r="AA12" s="1395"/>
      <c r="AB12" s="1395"/>
      <c r="AC12" s="1395"/>
      <c r="AD12" s="2155"/>
      <c r="AE12" s="314"/>
      <c r="AF12" s="316"/>
      <c r="AG12" s="418" t="s">
        <v>496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308"/>
      <c r="BE12" s="502"/>
      <c r="BF12" s="502" t="str">
        <f>IF(T12="","",T12)</f>
        <v/>
      </c>
      <c r="BG12" s="502"/>
      <c r="BH12" s="502"/>
      <c r="BI12" s="1157">
        <v>0</v>
      </c>
    </row>
    <row customHeight="1" ht="11.25" hidden="1">
      <c r="A13" s="1365"/>
      <c r="B13" s="1365"/>
      <c r="C13" s="1365"/>
      <c r="D13" s="1365"/>
      <c r="E13" s="2278"/>
      <c r="F13" s="2278"/>
      <c r="G13" s="2278"/>
      <c r="H13" s="2278"/>
      <c r="I13" s="2280"/>
      <c r="J13" s="2279"/>
      <c r="K13" s="1365"/>
      <c r="L13" s="1366"/>
      <c r="P13" s="2281"/>
      <c r="Q13" s="2281"/>
      <c r="R13" s="358"/>
      <c r="S13" s="1280"/>
      <c r="T13" s="289" t="s">
        <v>459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309"/>
      <c r="BE13" s="502"/>
      <c r="BF13" s="502" t="str">
        <f>IF(T13="","",T13)</f>
        <v>Добавить строку</v>
      </c>
      <c r="BG13" s="502"/>
      <c r="BH13" s="502"/>
      <c r="BI13" s="1157">
        <v>0</v>
      </c>
    </row>
    <row s="1644" customFormat="1" customHeight="1" ht="14.25" hidden="1">
      <c r="A14" s="1345"/>
      <c r="B14" s="1345"/>
      <c r="C14" s="1345"/>
      <c r="D14" s="1345"/>
      <c r="E14" s="2278"/>
      <c r="F14" s="2278"/>
      <c r="G14" s="2278"/>
      <c r="H14" s="2278"/>
      <c r="I14" s="2279"/>
      <c r="J14" s="1345"/>
      <c r="K14" s="1345"/>
      <c r="L14" s="1348"/>
      <c r="M14" s="512"/>
      <c r="N14" s="512"/>
      <c r="O14" s="512"/>
      <c r="P14" s="2281"/>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78"/>
      <c r="F15" s="2278"/>
      <c r="G15" s="2278"/>
      <c r="H15" s="2277"/>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78"/>
      <c r="F16" s="2278"/>
      <c r="G16" s="2277"/>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78"/>
      <c r="F17" s="2277"/>
      <c r="G17" s="1316"/>
      <c r="H17" s="1316"/>
      <c r="I17" s="1316"/>
      <c r="J17" s="1316"/>
      <c r="K17" s="1316"/>
      <c r="L17" s="1496"/>
      <c r="M17" s="1323"/>
      <c r="N17" s="1323"/>
      <c r="P17" s="1318"/>
      <c r="Q17" s="1319"/>
      <c r="R17" s="1318"/>
      <c r="S17" s="1324"/>
      <c r="T17" s="1327" t="s">
        <v>410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77"/>
      <c r="F18" s="1345"/>
      <c r="G18" s="1345"/>
      <c r="H18" s="1345"/>
      <c r="I18" s="1345"/>
      <c r="J18" s="1345"/>
      <c r="K18" s="1345"/>
      <c r="L18" s="1348"/>
      <c r="M18" s="1323"/>
      <c r="N18" s="1323"/>
      <c r="O18" s="520"/>
      <c r="P18" s="382"/>
      <c r="Q18" s="1346"/>
      <c r="R18" s="382"/>
      <c r="S18" s="1324"/>
      <c r="T18" s="1327" t="s">
        <v>411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7"/>
      <c r="AY20" s="1487" t="s">
        <v>65</v>
      </c>
      <c r="AZ20" s="1737"/>
      <c r="BA20" s="1487" t="s">
        <v>65</v>
      </c>
      <c r="BI20" s="1157">
        <v>0</v>
      </c>
    </row>
    <row customHeight="1" ht="14.25" hidden="1">
      <c r="BD21" s="498"/>
      <c r="BE21" s="498"/>
      <c r="BF21" s="498"/>
      <c r="BG21" s="498"/>
      <c r="BH21" s="498"/>
      <c r="BI21" s="1157">
        <v>0</v>
      </c>
    </row>
    <row customHeight="1" ht="14.25" hidden="1">
      <c r="O22" s="1369" t="s">
        <v>412</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413</v>
      </c>
      <c r="P24" s="1510"/>
      <c r="Q24" s="1512"/>
      <c r="R24" s="1512"/>
      <c r="AA24" s="1509" t="s">
        <v>415</v>
      </c>
      <c r="AC24" s="1509" t="s">
        <v>416</v>
      </c>
      <c r="AD24" s="1509" t="s">
        <v>460</v>
      </c>
      <c r="AH24" s="1509" t="s">
        <v>460</v>
      </c>
      <c r="AK24" s="1509" t="s">
        <v>497</v>
      </c>
      <c r="AL24" s="1509" t="s">
        <v>460</v>
      </c>
      <c r="AP24" s="1509" t="s">
        <v>460</v>
      </c>
      <c r="AY24" s="1509" t="s">
        <v>415</v>
      </c>
      <c r="BA24" s="1509" t="s">
        <v>416</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31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10"/>
      <c r="U28" s="2310"/>
      <c r="V28" s="2310"/>
      <c r="W28" s="2310"/>
      <c r="X28" s="2310"/>
      <c r="Y28" s="2310"/>
      <c r="Z28" s="2310"/>
      <c r="AA28" s="2310"/>
      <c r="AB28" s="2310"/>
      <c r="AC28" s="2310"/>
      <c r="AD28" s="2310"/>
      <c r="AE28" s="2310"/>
      <c r="AF28" s="2310"/>
      <c r="AG28" s="2310"/>
      <c r="AH28" s="2310"/>
      <c r="AI28" s="2310"/>
      <c r="AJ28" s="2310"/>
      <c r="AK28" s="2310"/>
      <c r="AL28" s="2310"/>
      <c r="AM28" s="2310"/>
      <c r="AN28" s="2310"/>
      <c r="AO28" s="2310"/>
      <c r="AP28" s="2310"/>
      <c r="AQ28" s="2310"/>
      <c r="AR28" s="2310"/>
      <c r="AS28" s="2310"/>
      <c r="AT28" s="2310"/>
      <c r="AU28" s="2310"/>
      <c r="AV28" s="2310"/>
      <c r="AW28" s="2310"/>
      <c r="AX28" s="2310"/>
      <c r="AY28" s="2310"/>
      <c r="AZ28" s="2310"/>
      <c r="BA28" s="1245"/>
      <c r="BI28" s="1157">
        <v>14</v>
      </c>
    </row>
    <row customHeight="1" ht="14.699999999999998">
      <c r="Q29" s="293"/>
      <c r="R29" s="378"/>
      <c r="S29" s="2311" t="str">
        <f>IF(org=0,"Не определено",org)</f>
        <v>Муниципальное унитарное предприятие "Невельские коммунальные сети"</v>
      </c>
      <c r="T29" s="2311"/>
      <c r="U29" s="2311"/>
      <c r="V29" s="2311"/>
      <c r="W29" s="2311"/>
      <c r="X29" s="2311"/>
      <c r="Y29" s="2311"/>
      <c r="Z29" s="2311"/>
      <c r="AA29" s="2311"/>
      <c r="AB29" s="2311"/>
      <c r="AC29" s="2311"/>
      <c r="AD29" s="2311"/>
      <c r="AE29" s="2311"/>
      <c r="AF29" s="2311"/>
      <c r="AG29" s="2311"/>
      <c r="AH29" s="2311"/>
      <c r="AI29" s="2311"/>
      <c r="AJ29" s="2311"/>
      <c r="AK29" s="2311"/>
      <c r="AL29" s="2311"/>
      <c r="AM29" s="2311"/>
      <c r="AN29" s="2311"/>
      <c r="AO29" s="2311"/>
      <c r="AP29" s="2311"/>
      <c r="AQ29" s="2311"/>
      <c r="AR29" s="2311"/>
      <c r="AS29" s="2311"/>
      <c r="AT29" s="2311"/>
      <c r="AU29" s="2311"/>
      <c r="AV29" s="2311"/>
      <c r="AW29" s="2311"/>
      <c r="AX29" s="2311"/>
      <c r="AY29" s="2311"/>
      <c r="AZ29" s="231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2" customFormat="1" customHeight="1" ht="25.5" hidden="1">
      <c r="A31" s="1370"/>
      <c r="B31" s="1370"/>
      <c r="C31" s="1370"/>
      <c r="D31" s="1370"/>
      <c r="E31" s="1370"/>
      <c r="F31" s="1370"/>
      <c r="G31" s="1370"/>
      <c r="H31" s="1370"/>
      <c r="I31" s="1370"/>
      <c r="J31" s="1370"/>
      <c r="K31" s="1370"/>
      <c r="L31" s="1371"/>
      <c r="M31" s="1370"/>
      <c r="N31" s="1370"/>
      <c r="O31" s="1370"/>
      <c r="P31" s="1370"/>
      <c r="Q31" s="1370"/>
      <c r="S31" s="226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68"/>
      <c r="U31" s="1374"/>
      <c r="V31" s="2270" t="str">
        <f>IF(TITLE_NAME_OR_PR_CHANGE="",IF(TITLE_NAME_OR_PR="","",TITLE_NAME_OR_PR),TITLE_NAME_OR_PR_CHANGE)</f>
        <v/>
      </c>
      <c r="W31" s="2270"/>
      <c r="X31" s="2270"/>
      <c r="Y31" s="2270"/>
      <c r="Z31" s="2270"/>
      <c r="AA31" s="2270"/>
      <c r="AB31" s="2270"/>
      <c r="AC31" s="328"/>
      <c r="AD31" s="2270" t="str">
        <f>IF(TITLE_NAME_OR_PR_CHANGE="",IF(TITLE_NAME_OR_PR="","",TITLE_NAME_OR_PR),TITLE_NAME_OR_PR_CHANGE)</f>
        <v/>
      </c>
      <c r="AE31" s="2270"/>
      <c r="AF31" s="2270"/>
      <c r="AG31" s="2270"/>
      <c r="AH31" s="2270"/>
      <c r="AI31" s="2270"/>
      <c r="AJ31" s="2270"/>
      <c r="AK31" s="2270"/>
      <c r="AL31" s="2270"/>
      <c r="AM31" s="2270"/>
      <c r="AN31" s="2270"/>
      <c r="AO31" s="2270"/>
      <c r="AP31" s="2270"/>
      <c r="AQ31" s="2270"/>
      <c r="AR31" s="2270"/>
      <c r="AS31" s="2270"/>
      <c r="AT31" s="2270"/>
      <c r="AU31" s="2270"/>
      <c r="AV31" s="2270"/>
      <c r="AW31" s="2270"/>
      <c r="AX31" s="2270"/>
      <c r="AY31" s="2270"/>
      <c r="AZ31" s="2270"/>
      <c r="BA31" s="328"/>
      <c r="BB31" s="328"/>
      <c r="BC31" s="282"/>
      <c r="BD31" s="370"/>
      <c r="BE31" s="370"/>
      <c r="BF31" s="370"/>
      <c r="BG31" s="370"/>
      <c r="BH31" s="370"/>
      <c r="BI31" s="420">
        <v>0</v>
      </c>
    </row>
    <row s="1852" customFormat="1" customHeight="1" ht="18.75" hidden="1">
      <c r="A32" s="1370"/>
      <c r="B32" s="1370"/>
      <c r="C32" s="1370"/>
      <c r="D32" s="1370"/>
      <c r="E32" s="1370"/>
      <c r="F32" s="1370"/>
      <c r="G32" s="1370"/>
      <c r="H32" s="1370"/>
      <c r="I32" s="1370"/>
      <c r="J32" s="1370"/>
      <c r="K32" s="1370"/>
      <c r="L32" s="1371"/>
      <c r="M32" s="1370"/>
      <c r="N32" s="1370"/>
      <c r="O32" s="1370"/>
      <c r="P32" s="1370"/>
      <c r="Q32" s="1370"/>
      <c r="S32" s="2268" t="str">
        <f>"Дата документа об "&amp;IF(TITLE_DATE_PR_CHANGE="","утверждении","изменении")&amp;" тарифов"</f>
        <v>Дата документа об утверждении тарифов</v>
      </c>
      <c r="T32" s="2268"/>
      <c r="U32" s="1374"/>
      <c r="V32" s="2269" t="str">
        <f>IF(TITLE_DATE_PR_CHANGE="",IF(TITLE_DATE_PR="","",TITLE_DATE_PR),TITLE_DATE_PR_CHANGE)</f>
        <v/>
      </c>
      <c r="W32" s="2269"/>
      <c r="X32" s="2269"/>
      <c r="Y32" s="2269"/>
      <c r="Z32" s="2269"/>
      <c r="AA32" s="2269"/>
      <c r="AB32" s="2269"/>
      <c r="AC32" s="328"/>
      <c r="AD32" s="2269" t="str">
        <f>IF(TITLE_DATE_PR_CHANGE="",IF(TITLE_DATE_PR="","",TITLE_DATE_PR),TITLE_DATE_PR_CHANGE)</f>
        <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28"/>
      <c r="BB32" s="328"/>
      <c r="BC32" s="282"/>
      <c r="BD32" s="370"/>
      <c r="BE32" s="370"/>
      <c r="BF32" s="370"/>
      <c r="BG32" s="370"/>
      <c r="BH32" s="370"/>
      <c r="BI32" s="420">
        <v>0</v>
      </c>
    </row>
    <row s="1852" customFormat="1" customHeight="1" ht="18.75" hidden="1">
      <c r="A33" s="1370"/>
      <c r="B33" s="1370"/>
      <c r="C33" s="1370"/>
      <c r="D33" s="1370"/>
      <c r="E33" s="1370"/>
      <c r="F33" s="1370"/>
      <c r="G33" s="1370"/>
      <c r="H33" s="1370"/>
      <c r="I33" s="1370"/>
      <c r="J33" s="1370"/>
      <c r="K33" s="1370"/>
      <c r="L33" s="1371"/>
      <c r="M33" s="1370"/>
      <c r="N33" s="1370"/>
      <c r="O33" s="1370"/>
      <c r="P33" s="1370"/>
      <c r="Q33" s="1370"/>
      <c r="S33" s="2268" t="str">
        <f>"Номер документа об "&amp;IF(TITLE_DATE_PR_CHANGE="","утверждении","изменении")&amp;" тарифов"</f>
        <v>Номер документа об утверждении тарифов</v>
      </c>
      <c r="T33" s="2268"/>
      <c r="U33" s="1374"/>
      <c r="V33" s="2270" t="str">
        <f>IF(TITLE_NUMBER_PR_CHANGE="",IF(TITLE_NUMBER_PR="","",TITLE_NUMBER_PR),TITLE_NUMBER_PR_CHANGE)</f>
        <v/>
      </c>
      <c r="W33" s="2270"/>
      <c r="X33" s="2270"/>
      <c r="Y33" s="2270"/>
      <c r="Z33" s="2270"/>
      <c r="AA33" s="2270"/>
      <c r="AB33" s="2270"/>
      <c r="AC33" s="328"/>
      <c r="AD33" s="2270" t="str">
        <f>IF(TITLE_NUMBER_PR_CHANGE="",IF(TITLE_NUMBER_PR="","",TITLE_NUMBER_PR),TITLE_NUMBER_PR_CHANGE)</f>
        <v/>
      </c>
      <c r="AE33" s="2270"/>
      <c r="AF33" s="2270"/>
      <c r="AG33" s="2270"/>
      <c r="AH33" s="2270"/>
      <c r="AI33" s="2270"/>
      <c r="AJ33" s="2270"/>
      <c r="AK33" s="2270"/>
      <c r="AL33" s="2270"/>
      <c r="AM33" s="2270"/>
      <c r="AN33" s="2270"/>
      <c r="AO33" s="2270"/>
      <c r="AP33" s="2270"/>
      <c r="AQ33" s="2270"/>
      <c r="AR33" s="2270"/>
      <c r="AS33" s="2270"/>
      <c r="AT33" s="2270"/>
      <c r="AU33" s="2270"/>
      <c r="AV33" s="2270"/>
      <c r="AW33" s="2270"/>
      <c r="AX33" s="2270"/>
      <c r="AY33" s="2270"/>
      <c r="AZ33" s="2270"/>
      <c r="BA33" s="328"/>
      <c r="BB33" s="328"/>
      <c r="BC33" s="282"/>
      <c r="BD33" s="370"/>
      <c r="BE33" s="370"/>
      <c r="BF33" s="370"/>
      <c r="BG33" s="370"/>
      <c r="BH33" s="370"/>
      <c r="BI33" s="420">
        <v>0</v>
      </c>
    </row>
    <row s="1852" customFormat="1" customHeight="1" ht="18.75" hidden="1">
      <c r="A34" s="1370"/>
      <c r="B34" s="1370"/>
      <c r="C34" s="1370"/>
      <c r="D34" s="1370"/>
      <c r="E34" s="1370"/>
      <c r="F34" s="1370"/>
      <c r="G34" s="1370"/>
      <c r="H34" s="1370"/>
      <c r="I34" s="1370"/>
      <c r="J34" s="1370"/>
      <c r="K34" s="1370"/>
      <c r="L34" s="1371"/>
      <c r="M34" s="1370"/>
      <c r="N34" s="1370"/>
      <c r="O34" s="1370"/>
      <c r="P34" s="1370"/>
      <c r="Q34" s="1370"/>
      <c r="S34" s="2268" t="s">
        <v>43</v>
      </c>
      <c r="T34" s="2268"/>
      <c r="U34" s="1374"/>
      <c r="V34" s="2270" t="str">
        <f>IF(TITLE_IST_PUB_CHANGE="",IF(TITLE_IST_PUB="","",TITLE_IST_PUB),TITLE_IST_PUB_CHANGE)</f>
        <v/>
      </c>
      <c r="W34" s="2270"/>
      <c r="X34" s="2270"/>
      <c r="Y34" s="2270"/>
      <c r="Z34" s="2270"/>
      <c r="AA34" s="2270"/>
      <c r="AB34" s="2270"/>
      <c r="AC34" s="328"/>
      <c r="AD34" s="2270" t="str">
        <f>IF(TITLE_IST_PUB_CHANGE="",IF(TITLE_IST_PUB="","",TITLE_IST_PUB),TITLE_IST_PUB_CHANGE)</f>
        <v/>
      </c>
      <c r="AE34" s="2270"/>
      <c r="AF34" s="2270"/>
      <c r="AG34" s="2270"/>
      <c r="AH34" s="2270"/>
      <c r="AI34" s="2270"/>
      <c r="AJ34" s="2270"/>
      <c r="AK34" s="2270"/>
      <c r="AL34" s="2270"/>
      <c r="AM34" s="2270"/>
      <c r="AN34" s="2270"/>
      <c r="AO34" s="2270"/>
      <c r="AP34" s="2270"/>
      <c r="AQ34" s="2270"/>
      <c r="AR34" s="2270"/>
      <c r="AS34" s="2270"/>
      <c r="AT34" s="2270"/>
      <c r="AU34" s="2270"/>
      <c r="AV34" s="2270"/>
      <c r="AW34" s="2270"/>
      <c r="AX34" s="2270"/>
      <c r="AY34" s="2270"/>
      <c r="AZ34" s="2270"/>
      <c r="BA34" s="328"/>
      <c r="BB34" s="328"/>
      <c r="BC34" s="282"/>
      <c r="BD34" s="370"/>
      <c r="BE34" s="370"/>
      <c r="BF34" s="370"/>
      <c r="BG34" s="370"/>
      <c r="BH34" s="370"/>
      <c r="BI34" s="420">
        <v>0</v>
      </c>
    </row>
    <row customHeight="1" ht="14.25" hidden="1">
      <c r="Q35" s="293"/>
      <c r="R35" s="378"/>
      <c r="S35" s="1277"/>
      <c r="T35" s="459"/>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2" customFormat="1" customHeight="1" ht="18.75" hidden="1">
      <c r="A36" s="1370"/>
      <c r="B36" s="1370"/>
      <c r="C36" s="1370"/>
      <c r="D36" s="1370"/>
      <c r="E36" s="1370"/>
      <c r="F36" s="1370"/>
      <c r="G36" s="1370"/>
      <c r="H36" s="1370"/>
      <c r="I36" s="1370"/>
      <c r="J36" s="1370"/>
      <c r="K36" s="1370"/>
      <c r="L36" s="1371"/>
      <c r="M36" s="1370"/>
      <c r="N36" s="1370"/>
      <c r="O36" s="1370"/>
      <c r="P36" s="1370"/>
      <c r="Q36" s="1370"/>
      <c r="S36" s="2268" t="str">
        <f>"Дата подачи заявления об "&amp;IF(TITLE_DATE_PR_CHANGE="","утверждении","изменении")&amp;" тарифов"</f>
        <v>Дата подачи заявления об утверждении тарифов</v>
      </c>
      <c r="T36" s="2268"/>
      <c r="U36" s="1374"/>
      <c r="V36" s="2269" t="str">
        <f>IF(TITLE_DATE_PR_CHANGE="",IF(TITLE_DATE_PR="","",TITLE_DATE_PR),TITLE_DATE_PR_CHANGE)</f>
        <v/>
      </c>
      <c r="W36" s="2269"/>
      <c r="X36" s="2269"/>
      <c r="Y36" s="2269"/>
      <c r="Z36" s="2269"/>
      <c r="AA36" s="2269"/>
      <c r="AB36" s="2269"/>
      <c r="AC36" s="328"/>
      <c r="AD36" s="2269" t="str">
        <f>IF(TITLE_DATE_PR_CHANGE="",IF(TITLE_DATE_PR="","",TITLE_DATE_PR),TITLE_DATE_PR_CHANGE)</f>
        <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28"/>
      <c r="BB36" s="328"/>
      <c r="BC36" s="282"/>
      <c r="BD36" s="370"/>
      <c r="BE36" s="370"/>
      <c r="BF36" s="370"/>
      <c r="BG36" s="370"/>
      <c r="BH36" s="370"/>
      <c r="BI36" s="420">
        <v>0</v>
      </c>
    </row>
    <row s="1852" customFormat="1" customHeight="1" ht="18.75" hidden="1">
      <c r="A37" s="1370"/>
      <c r="B37" s="1370"/>
      <c r="C37" s="1370"/>
      <c r="D37" s="1370"/>
      <c r="E37" s="1370"/>
      <c r="F37" s="1370"/>
      <c r="G37" s="1370"/>
      <c r="H37" s="1370"/>
      <c r="I37" s="1370"/>
      <c r="J37" s="1370"/>
      <c r="K37" s="1370"/>
      <c r="L37" s="1371"/>
      <c r="M37" s="1370"/>
      <c r="N37" s="1370"/>
      <c r="O37" s="1370"/>
      <c r="P37" s="1370"/>
      <c r="Q37" s="1370"/>
      <c r="S37" s="2268" t="str">
        <f>"Номер подачи заявления об "&amp;IF(TITLE_DATE_PR_CHANGE="","утверждении","изменении")&amp;" тарифов"</f>
        <v>Номер подачи заявления об утверждении тарифов</v>
      </c>
      <c r="T37" s="2268"/>
      <c r="U37" s="1374"/>
      <c r="V37" s="2270" t="str">
        <f>IF(TITLE_NUMBER_PR_CHANGE="",IF(TITLE_NUMBER_PR="","",TITLE_NUMBER_PR),TITLE_NUMBER_PR_CHANGE)</f>
        <v/>
      </c>
      <c r="W37" s="2270"/>
      <c r="X37" s="2270"/>
      <c r="Y37" s="2270"/>
      <c r="Z37" s="2270"/>
      <c r="AA37" s="2270"/>
      <c r="AB37" s="2270"/>
      <c r="AC37" s="328"/>
      <c r="AD37" s="2270" t="str">
        <f>IF(TITLE_NUMBER_PR_CHANGE="",IF(TITLE_NUMBER_PR="","",TITLE_NUMBER_PR),TITLE_NUMBER_PR_CHANGE)</f>
        <v/>
      </c>
      <c r="AE37" s="2270"/>
      <c r="AF37" s="2270"/>
      <c r="AG37" s="2270"/>
      <c r="AH37" s="2270"/>
      <c r="AI37" s="2270"/>
      <c r="AJ37" s="2270"/>
      <c r="AK37" s="2270"/>
      <c r="AL37" s="2270"/>
      <c r="AM37" s="2270"/>
      <c r="AN37" s="2270"/>
      <c r="AO37" s="2270"/>
      <c r="AP37" s="2270"/>
      <c r="AQ37" s="2270"/>
      <c r="AR37" s="2270"/>
      <c r="AS37" s="2270"/>
      <c r="AT37" s="2270"/>
      <c r="AU37" s="2270"/>
      <c r="AV37" s="2270"/>
      <c r="AW37" s="2270"/>
      <c r="AX37" s="2270"/>
      <c r="AY37" s="2270"/>
      <c r="AZ37" s="2270"/>
      <c r="BA37" s="328"/>
      <c r="BB37" s="328"/>
      <c r="BC37" s="282"/>
      <c r="BD37" s="370"/>
      <c r="BE37" s="370"/>
      <c r="BF37" s="370"/>
      <c r="BG37" s="370"/>
      <c r="BH37" s="370"/>
      <c r="BI37" s="420">
        <v>0</v>
      </c>
    </row>
    <row s="1852"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418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418</v>
      </c>
      <c r="BD38" s="370"/>
      <c r="BE38" s="370"/>
      <c r="BF38" s="370"/>
      <c r="BG38" s="370"/>
      <c r="BH38" s="370"/>
      <c r="BI38" s="420">
        <v>0</v>
      </c>
    </row>
    <row customHeight="1" ht="14.699999999999998">
      <c r="Q39" s="293"/>
      <c r="R39" s="378"/>
      <c r="S39" s="1277"/>
      <c r="T39" s="365"/>
      <c r="U39" s="1246"/>
      <c r="V39" s="2294"/>
      <c r="W39" s="2294"/>
      <c r="X39" s="2294"/>
      <c r="Y39" s="2294"/>
      <c r="Z39" s="2294"/>
      <c r="AA39" s="2294"/>
      <c r="AB39" s="2294"/>
      <c r="AC39" s="2294"/>
      <c r="AD39" s="2294"/>
      <c r="AE39" s="2294"/>
      <c r="AF39" s="2294"/>
      <c r="AG39" s="2294"/>
      <c r="AH39" s="2294"/>
      <c r="AI39" s="2294"/>
      <c r="AJ39" s="2294"/>
      <c r="AK39" s="2294"/>
      <c r="AL39" s="2294"/>
      <c r="AM39" s="2294"/>
      <c r="AN39" s="2294"/>
      <c r="AO39" s="2294"/>
      <c r="AP39" s="2294"/>
      <c r="AQ39" s="2294"/>
      <c r="AR39" s="2294"/>
      <c r="AS39" s="2294"/>
      <c r="AT39" s="2294"/>
      <c r="AU39" s="2294"/>
      <c r="AV39" s="2294"/>
      <c r="AW39" s="2294"/>
      <c r="AX39" s="2294"/>
      <c r="AY39" s="2294"/>
      <c r="AZ39" s="2294"/>
      <c r="BA39" s="2294"/>
      <c r="BI39" s="1157">
        <v>14</v>
      </c>
    </row>
    <row customHeight="1" ht="14.699999999999998">
      <c r="Q40" s="293"/>
      <c r="R40" s="378"/>
      <c r="S40" s="2140" t="s">
        <v>295</v>
      </c>
      <c r="T40" s="2140"/>
      <c r="U40" s="2140"/>
      <c r="V40" s="2140"/>
      <c r="W40" s="2140"/>
      <c r="X40" s="2140"/>
      <c r="Y40" s="2140"/>
      <c r="Z40" s="2140"/>
      <c r="AA40" s="2140"/>
      <c r="AB40" s="2140"/>
      <c r="AC40" s="2140"/>
      <c r="AD40" s="2140"/>
      <c r="AE40" s="2140"/>
      <c r="AF40" s="2140"/>
      <c r="AG40" s="2140"/>
      <c r="AH40" s="2140"/>
      <c r="AI40" s="2140"/>
      <c r="AJ40" s="2140"/>
      <c r="AK40" s="2140"/>
      <c r="AL40" s="2140"/>
      <c r="AM40" s="2140"/>
      <c r="AN40" s="2140"/>
      <c r="AO40" s="2140"/>
      <c r="AP40" s="2140"/>
      <c r="AQ40" s="2140"/>
      <c r="AR40" s="2140"/>
      <c r="AS40" s="2140"/>
      <c r="AT40" s="2140"/>
      <c r="AU40" s="2140"/>
      <c r="AV40" s="2140"/>
      <c r="AW40" s="2140"/>
      <c r="AX40" s="2140"/>
      <c r="AY40" s="2140"/>
      <c r="AZ40" s="2140"/>
      <c r="BA40" s="2140"/>
      <c r="BB40" s="2140"/>
      <c r="BC40" s="2140" t="s">
        <v>296</v>
      </c>
      <c r="BI40" s="1157">
        <v>14</v>
      </c>
    </row>
    <row customHeight="1" ht="14.699999999999998">
      <c r="Q41" s="293"/>
      <c r="R41" s="378"/>
      <c r="S41" s="2295" t="s">
        <v>88</v>
      </c>
      <c r="T41" s="2232" t="s">
        <v>500</v>
      </c>
      <c r="U41" s="303"/>
      <c r="V41" s="2296" t="s">
        <v>420</v>
      </c>
      <c r="W41" s="2297"/>
      <c r="X41" s="2297"/>
      <c r="Y41" s="2297"/>
      <c r="Z41" s="2297"/>
      <c r="AA41" s="2297"/>
      <c r="AB41" s="2298"/>
      <c r="AC41" s="2299" t="s">
        <v>421</v>
      </c>
      <c r="AD41" s="2350" t="s">
        <v>501</v>
      </c>
      <c r="AE41" s="2318"/>
      <c r="AF41" s="2318"/>
      <c r="AG41" s="2351"/>
      <c r="AH41" s="2350" t="s">
        <v>502</v>
      </c>
      <c r="AI41" s="2318"/>
      <c r="AJ41" s="2318"/>
      <c r="AK41" s="2351"/>
      <c r="AL41" s="2350" t="s">
        <v>503</v>
      </c>
      <c r="AM41" s="2318"/>
      <c r="AN41" s="2318"/>
      <c r="AO41" s="2351"/>
      <c r="AP41" s="2350" t="s">
        <v>504</v>
      </c>
      <c r="AQ41" s="2318"/>
      <c r="AR41" s="2318"/>
      <c r="AS41" s="2351"/>
      <c r="AT41" s="2296" t="s">
        <v>420</v>
      </c>
      <c r="AU41" s="2297"/>
      <c r="AV41" s="2297"/>
      <c r="AW41" s="2297"/>
      <c r="AX41" s="2297"/>
      <c r="AY41" s="2297"/>
      <c r="AZ41" s="2298"/>
      <c r="BA41" s="2299" t="s">
        <v>421</v>
      </c>
      <c r="BB41" s="2302" t="s">
        <v>423</v>
      </c>
      <c r="BC41" s="2140"/>
      <c r="BI41" s="1157">
        <v>14</v>
      </c>
    </row>
    <row customHeight="1" ht="35.699999999999996">
      <c r="Q42" s="293"/>
      <c r="R42" s="378"/>
      <c r="S42" s="2295"/>
      <c r="T42" s="2232"/>
      <c r="U42" s="1033"/>
      <c r="V42" s="2200" t="s">
        <v>505</v>
      </c>
      <c r="W42" s="2201"/>
      <c r="X42" s="2200" t="s">
        <v>506</v>
      </c>
      <c r="Y42" s="2201"/>
      <c r="Z42" s="2316" t="s">
        <v>507</v>
      </c>
      <c r="AA42" s="2341"/>
      <c r="AB42" s="2342"/>
      <c r="AC42" s="2300"/>
      <c r="AD42" s="2352"/>
      <c r="AE42" s="2353"/>
      <c r="AF42" s="2353"/>
      <c r="AG42" s="2365"/>
      <c r="AH42" s="2352"/>
      <c r="AI42" s="2353"/>
      <c r="AJ42" s="2353"/>
      <c r="AK42" s="2365"/>
      <c r="AL42" s="2352"/>
      <c r="AM42" s="2353"/>
      <c r="AN42" s="2353"/>
      <c r="AO42" s="2365"/>
      <c r="AP42" s="2352"/>
      <c r="AQ42" s="2353"/>
      <c r="AR42" s="2353"/>
      <c r="AS42" s="2365"/>
      <c r="AT42" s="2200" t="s">
        <v>505</v>
      </c>
      <c r="AU42" s="2201"/>
      <c r="AV42" s="2200" t="s">
        <v>506</v>
      </c>
      <c r="AW42" s="2201"/>
      <c r="AX42" s="2316" t="s">
        <v>507</v>
      </c>
      <c r="AY42" s="2341"/>
      <c r="AZ42" s="2342"/>
      <c r="BA42" s="2300"/>
      <c r="BB42" s="2303"/>
      <c r="BC42" s="2140"/>
      <c r="BI42" s="1157">
        <v>34</v>
      </c>
    </row>
    <row customHeight="1" ht="14.699999999999998">
      <c r="Q43" s="293"/>
      <c r="R43" s="378"/>
      <c r="S43" s="2295"/>
      <c r="T43" s="2232"/>
      <c r="U43" s="1033"/>
      <c r="V43" s="2208"/>
      <c r="W43" s="2209"/>
      <c r="X43" s="2208"/>
      <c r="Y43" s="2209"/>
      <c r="Z43" s="2317"/>
      <c r="AA43" s="2343"/>
      <c r="AB43" s="2344"/>
      <c r="AC43" s="2300"/>
      <c r="AD43" s="2352"/>
      <c r="AE43" s="2353"/>
      <c r="AF43" s="2353"/>
      <c r="AG43" s="2365"/>
      <c r="AH43" s="2352"/>
      <c r="AI43" s="2353"/>
      <c r="AJ43" s="2353"/>
      <c r="AK43" s="2365"/>
      <c r="AL43" s="2352"/>
      <c r="AM43" s="2353"/>
      <c r="AN43" s="2353"/>
      <c r="AO43" s="2365"/>
      <c r="AP43" s="2352"/>
      <c r="AQ43" s="2353"/>
      <c r="AR43" s="2353"/>
      <c r="AS43" s="2365"/>
      <c r="AT43" s="2208"/>
      <c r="AU43" s="2209"/>
      <c r="AV43" s="2208"/>
      <c r="AW43" s="2209"/>
      <c r="AX43" s="2317"/>
      <c r="AY43" s="2343"/>
      <c r="AZ43" s="2344"/>
      <c r="BA43" s="2300"/>
      <c r="BB43" s="2303"/>
      <c r="BC43" s="2140"/>
      <c r="BI43" s="1157">
        <v>14</v>
      </c>
    </row>
    <row customHeight="1" ht="14.699999999999998">
      <c r="A44" s="1372"/>
      <c r="B44" s="1372" t="s">
        <v>132</v>
      </c>
      <c r="C44" s="1372" t="s">
        <v>133</v>
      </c>
      <c r="D44" s="1372" t="s">
        <v>134</v>
      </c>
      <c r="E44" s="1366" t="s">
        <v>428</v>
      </c>
      <c r="F44" s="1366" t="s">
        <v>429</v>
      </c>
      <c r="G44" s="1366" t="s">
        <v>430</v>
      </c>
      <c r="H44" s="1366" t="s">
        <v>431</v>
      </c>
      <c r="I44" s="1366" t="s">
        <v>432</v>
      </c>
      <c r="J44" s="1366" t="s">
        <v>433</v>
      </c>
      <c r="K44" s="1366" t="s">
        <v>434</v>
      </c>
      <c r="L44" s="1366" t="s">
        <v>413</v>
      </c>
      <c r="Q44" s="293"/>
      <c r="R44" s="378"/>
      <c r="S44" s="2295"/>
      <c r="T44" s="2232"/>
      <c r="U44" s="304"/>
      <c r="V44" s="1481" t="s">
        <v>469</v>
      </c>
      <c r="W44" s="1481" t="s">
        <v>470</v>
      </c>
      <c r="X44" s="1481" t="s">
        <v>469</v>
      </c>
      <c r="Y44" s="1481" t="s">
        <v>470</v>
      </c>
      <c r="Z44" s="1491" t="s">
        <v>437</v>
      </c>
      <c r="AA44" s="2291" t="s">
        <v>438</v>
      </c>
      <c r="AB44" s="2292"/>
      <c r="AC44" s="2301"/>
      <c r="AD44" s="2354"/>
      <c r="AE44" s="2355"/>
      <c r="AF44" s="2355"/>
      <c r="AG44" s="2356"/>
      <c r="AH44" s="2354"/>
      <c r="AI44" s="2355"/>
      <c r="AJ44" s="2355"/>
      <c r="AK44" s="2356"/>
      <c r="AL44" s="2354"/>
      <c r="AM44" s="2355"/>
      <c r="AN44" s="2355"/>
      <c r="AO44" s="2356"/>
      <c r="AP44" s="2354"/>
      <c r="AQ44" s="2355"/>
      <c r="AR44" s="2355"/>
      <c r="AS44" s="2356"/>
      <c r="AT44" s="1481" t="s">
        <v>469</v>
      </c>
      <c r="AU44" s="1481" t="s">
        <v>470</v>
      </c>
      <c r="AV44" s="1481" t="s">
        <v>469</v>
      </c>
      <c r="AW44" s="1481" t="s">
        <v>470</v>
      </c>
      <c r="AX44" s="1491" t="s">
        <v>437</v>
      </c>
      <c r="AY44" s="2291" t="s">
        <v>438</v>
      </c>
      <c r="AZ44" s="2292"/>
      <c r="BA44" s="2301"/>
      <c r="BB44" s="2304"/>
      <c r="BC44" s="2140"/>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106</v>
      </c>
      <c r="T45" s="1257" t="s">
        <v>107</v>
      </c>
      <c r="U45" s="1247" t="str">
        <f>OFFSET(U45,0,-1)</f>
        <v>2</v>
      </c>
      <c r="V45" s="1484">
        <f>OFFSET(V45,0,-1)+1</f>
        <v>3</v>
      </c>
      <c r="W45" s="1484">
        <f>OFFSET(W45,0,-1)+1</f>
        <v>4</v>
      </c>
      <c r="X45" s="1484">
        <f>OFFSET(X45,0,-1)+1</f>
        <v>5</v>
      </c>
      <c r="Y45" s="1484">
        <f>OFFSET(Y45,0,-1)+1</f>
        <v>6</v>
      </c>
      <c r="Z45" s="1484">
        <f>OFFSET(Z45,0,-1)+1</f>
        <v>7</v>
      </c>
      <c r="AA45" s="2293">
        <f>OFFSET(AA45,0,-1)+1</f>
        <v>8</v>
      </c>
      <c r="AB45" s="2293"/>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93">
        <f>OFFSET(AY45,0,-1)+1</f>
        <v>3</v>
      </c>
      <c r="AZ45" s="2293"/>
      <c r="BA45" s="1484">
        <f>OFFSET(BA45,0,-2)+1</f>
        <v>4</v>
      </c>
      <c r="BB45" s="1247">
        <f>OFFSET(BB45,0,-1)</f>
        <v>4</v>
      </c>
      <c r="BC45" s="1484">
        <f>OFFSET(BC45,0,-1)+1</f>
        <v>5</v>
      </c>
      <c r="BD45" s="513"/>
      <c r="BE45" s="513"/>
      <c r="BF45" s="513"/>
      <c r="BG45" s="513"/>
      <c r="BH45" s="513"/>
      <c r="BI45" s="498">
        <v>0</v>
      </c>
    </row>
    <row customHeight="1" ht="22.049999999999997">
      <c r="A46" s="1365" t="s">
        <v>256</v>
      </c>
      <c r="B46" s="1365"/>
      <c r="C46" s="1365"/>
      <c r="D46" s="1365"/>
      <c r="E46" s="2277">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120</v>
      </c>
      <c r="U46" s="302"/>
      <c r="V46" s="2272"/>
      <c r="W46" s="2272"/>
      <c r="X46" s="2272"/>
      <c r="Y46" s="2272"/>
      <c r="Z46" s="2272"/>
      <c r="AA46" s="2272"/>
      <c r="AB46" s="2272"/>
      <c r="AC46" s="2273"/>
      <c r="AD46" s="2271" t="str">
        <f>INDEX(PT_DIFFERENTIATION_NTAR,MATCH(A46,PT_DIFFERENTIATION_NTAR_ID,0))</f>
        <v/>
      </c>
      <c r="AE46" s="2272"/>
      <c r="AF46" s="2272"/>
      <c r="AG46" s="2272"/>
      <c r="AH46" s="2272"/>
      <c r="AI46" s="2272"/>
      <c r="AJ46" s="2272"/>
      <c r="AK46" s="2272"/>
      <c r="AL46" s="2272"/>
      <c r="AM46" s="2272"/>
      <c r="AN46" s="2272"/>
      <c r="AO46" s="2272"/>
      <c r="AP46" s="2272"/>
      <c r="AQ46" s="2272"/>
      <c r="AR46" s="2272"/>
      <c r="AS46" s="2272"/>
      <c r="AT46" s="2272"/>
      <c r="AU46" s="2272"/>
      <c r="AV46" s="2272"/>
      <c r="AW46" s="2272"/>
      <c r="AX46" s="2272"/>
      <c r="AY46" s="2272"/>
      <c r="AZ46" s="2272"/>
      <c r="BA46" s="2272"/>
      <c r="BB46" s="2273"/>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256</v>
      </c>
      <c r="B47" s="1365" t="s">
        <v>257</v>
      </c>
      <c r="C47" s="1365"/>
      <c r="D47" s="1365"/>
      <c r="E47" s="2278"/>
      <c r="F47" s="2277">
        <v>1</v>
      </c>
      <c r="G47" s="1365"/>
      <c r="H47" s="1365"/>
      <c r="I47" s="1365"/>
      <c r="J47" s="1365"/>
      <c r="K47" s="1365"/>
      <c r="L47" s="1366"/>
      <c r="M47" s="1367"/>
      <c r="N47" s="1367"/>
      <c r="O47" s="1367"/>
      <c r="P47" s="1412"/>
      <c r="Q47" s="1413"/>
      <c r="R47" s="355"/>
      <c r="S47" s="1495" t="str">
        <f>INDEX(PT_DIFFERENTIATION_NUM_TER,MATCH(B47,PT_DIFFERENTIATION_TER_ID,0))</f>
        <v>.</v>
      </c>
      <c r="T47" s="310" t="s">
        <v>392</v>
      </c>
      <c r="U47" s="302"/>
      <c r="V47" s="2272"/>
      <c r="W47" s="2272"/>
      <c r="X47" s="2272"/>
      <c r="Y47" s="2272"/>
      <c r="Z47" s="2272"/>
      <c r="AA47" s="2272"/>
      <c r="AB47" s="2272"/>
      <c r="AC47" s="2273"/>
      <c r="AD47" s="2271" t="str">
        <f>INDEX(PT_DIFFERENTIATION_TER,MATCH(B47,PT_DIFFERENTIATION_TER_ID,0))</f>
        <v/>
      </c>
      <c r="AE47" s="2272"/>
      <c r="AF47" s="2272"/>
      <c r="AG47" s="2272"/>
      <c r="AH47" s="2272"/>
      <c r="AI47" s="2272"/>
      <c r="AJ47" s="2272"/>
      <c r="AK47" s="2272"/>
      <c r="AL47" s="2272"/>
      <c r="AM47" s="2272"/>
      <c r="AN47" s="2272"/>
      <c r="AO47" s="2272"/>
      <c r="AP47" s="2272"/>
      <c r="AQ47" s="2272"/>
      <c r="AR47" s="2272"/>
      <c r="AS47" s="2272"/>
      <c r="AT47" s="2272"/>
      <c r="AU47" s="2272"/>
      <c r="AV47" s="2272"/>
      <c r="AW47" s="2272"/>
      <c r="AX47" s="2272"/>
      <c r="AY47" s="2272"/>
      <c r="AZ47" s="2272"/>
      <c r="BA47" s="2272"/>
      <c r="BB47" s="2273"/>
      <c r="BC47" s="1260" t="s">
        <v>393</v>
      </c>
      <c r="BE47" s="502"/>
      <c r="BF47" s="502" t="str">
        <f>IF(T47="","",T47)</f>
        <v>Территория действия тарифа</v>
      </c>
      <c r="BG47" s="502"/>
      <c r="BH47" s="502"/>
      <c r="BI47" s="1157">
        <v>21</v>
      </c>
    </row>
    <row customHeight="1" ht="35.699999999999996">
      <c r="A48" s="1365" t="s">
        <v>256</v>
      </c>
      <c r="B48" s="1365" t="s">
        <v>257</v>
      </c>
      <c r="C48" s="1365" t="s">
        <v>258</v>
      </c>
      <c r="D48" s="1365"/>
      <c r="E48" s="2278"/>
      <c r="F48" s="2278"/>
      <c r="G48" s="2277">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72"/>
      <c r="W48" s="2272"/>
      <c r="X48" s="2272"/>
      <c r="Y48" s="2272"/>
      <c r="Z48" s="2272"/>
      <c r="AA48" s="2272"/>
      <c r="AB48" s="2272"/>
      <c r="AC48" s="2273"/>
      <c r="AD48" s="2271" t="str">
        <f>INDEX(PT_DIFFERENTIATION_CS,MATCH(C48,PT_DIFFERENTIATION_CS_ID,0))</f>
        <v/>
      </c>
      <c r="AE48" s="2272"/>
      <c r="AF48" s="2272"/>
      <c r="AG48" s="2272"/>
      <c r="AH48" s="2272"/>
      <c r="AI48" s="2272"/>
      <c r="AJ48" s="2272"/>
      <c r="AK48" s="2272"/>
      <c r="AL48" s="2272"/>
      <c r="AM48" s="2272"/>
      <c r="AN48" s="2272"/>
      <c r="AO48" s="2272"/>
      <c r="AP48" s="2272"/>
      <c r="AQ48" s="2272"/>
      <c r="AR48" s="2272"/>
      <c r="AS48" s="2272"/>
      <c r="AT48" s="2272"/>
      <c r="AU48" s="2272"/>
      <c r="AV48" s="2272"/>
      <c r="AW48" s="2272"/>
      <c r="AX48" s="2272"/>
      <c r="AY48" s="2272"/>
      <c r="AZ48" s="2272"/>
      <c r="BA48" s="2272"/>
      <c r="BB48" s="2273"/>
      <c r="BC48" s="1260" t="s">
        <v>524</v>
      </c>
      <c r="BE48" s="502"/>
      <c r="BF48" s="502" t="str">
        <f>IF(T48="","",T48)</f>
        <v>Наименование централизованной системы горячего водоснабжения</v>
      </c>
      <c r="BG48" s="502"/>
      <c r="BH48" s="502"/>
      <c r="BI48" s="1157">
        <v>34</v>
      </c>
    </row>
    <row s="1644" customFormat="1" customHeight="1" ht="0">
      <c r="A49" s="1345" t="s">
        <v>256</v>
      </c>
      <c r="B49" s="1345" t="s">
        <v>257</v>
      </c>
      <c r="C49" s="1345" t="s">
        <v>258</v>
      </c>
      <c r="D49" s="1345" t="s">
        <v>537</v>
      </c>
      <c r="E49" s="2278"/>
      <c r="F49" s="2278"/>
      <c r="G49" s="2278"/>
      <c r="H49" s="2277">
        <v>1</v>
      </c>
      <c r="I49" s="1345"/>
      <c r="J49" s="1345"/>
      <c r="K49" s="1345"/>
      <c r="L49" s="1348"/>
      <c r="M49" s="1317"/>
      <c r="N49" s="1317"/>
      <c r="O49" s="1317"/>
      <c r="P49" s="1499"/>
      <c r="Q49" s="1500"/>
      <c r="R49" s="359"/>
      <c r="S49" s="1044"/>
      <c r="T49" s="1501"/>
      <c r="U49" s="1386"/>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387" t="s">
        <v>397</v>
      </c>
      <c r="BE49" s="502"/>
      <c r="BF49" s="502" t="str">
        <f>IF(T49="","",T49)</f>
        <v/>
      </c>
      <c r="BG49" s="502"/>
      <c r="BH49" s="502"/>
      <c r="BI49" s="513">
        <v>0</v>
      </c>
    </row>
    <row s="1644" customFormat="1" customHeight="1" ht="0">
      <c r="A50" s="1345" t="s">
        <v>256</v>
      </c>
      <c r="B50" s="1345" t="s">
        <v>257</v>
      </c>
      <c r="C50" s="1345" t="s">
        <v>258</v>
      </c>
      <c r="D50" s="1345" t="s">
        <v>537</v>
      </c>
      <c r="E50" s="2278"/>
      <c r="F50" s="2278"/>
      <c r="G50" s="2278"/>
      <c r="H50" s="2278"/>
      <c r="I50" s="2279" t="str">
        <f>S49&amp;".1"</f>
        <v>.1</v>
      </c>
      <c r="J50" s="1345"/>
      <c r="K50" s="1345"/>
      <c r="L50" s="1348" t="s">
        <v>398</v>
      </c>
      <c r="M50" s="512"/>
      <c r="N50" s="512"/>
      <c r="O50" s="512"/>
      <c r="P50" s="2281">
        <v>1</v>
      </c>
      <c r="Q50" s="1483"/>
      <c r="R50" s="358"/>
      <c r="S50" s="1044"/>
      <c r="T50" s="1385"/>
      <c r="U50" s="1386"/>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387"/>
      <c r="BE50" s="502"/>
      <c r="BF50" s="502" t="str">
        <f>IF(T50="","",T50)</f>
        <v/>
      </c>
      <c r="BG50" s="502"/>
      <c r="BH50" s="502"/>
      <c r="BI50" s="513">
        <v>0</v>
      </c>
    </row>
    <row s="1644" customFormat="1" customHeight="1" ht="0">
      <c r="A51" s="1345" t="s">
        <v>256</v>
      </c>
      <c r="B51" s="1345" t="s">
        <v>257</v>
      </c>
      <c r="C51" s="1345" t="s">
        <v>258</v>
      </c>
      <c r="D51" s="1345" t="s">
        <v>537</v>
      </c>
      <c r="E51" s="2278"/>
      <c r="F51" s="2278"/>
      <c r="G51" s="2278"/>
      <c r="H51" s="2278"/>
      <c r="I51" s="2280"/>
      <c r="J51" s="2279" t="str">
        <f>S49&amp;".1"</f>
        <v>.1</v>
      </c>
      <c r="K51" s="1345"/>
      <c r="L51" s="1348"/>
      <c r="M51" s="512"/>
      <c r="N51" s="512"/>
      <c r="O51" s="512"/>
      <c r="P51" s="2281"/>
      <c r="Q51" s="2281">
        <v>1</v>
      </c>
      <c r="R51" s="359"/>
      <c r="S51" s="1044"/>
      <c r="T51" s="1401"/>
      <c r="U51" s="1386"/>
      <c r="V51" s="2320"/>
      <c r="W51" s="2320"/>
      <c r="X51" s="2320"/>
      <c r="Y51" s="2320"/>
      <c r="Z51" s="2320"/>
      <c r="AA51" s="2320"/>
      <c r="AB51" s="2320"/>
      <c r="AC51" s="2321"/>
      <c r="AD51" s="2319"/>
      <c r="AE51" s="2320"/>
      <c r="AF51" s="2320"/>
      <c r="AG51" s="2320"/>
      <c r="AH51" s="2320"/>
      <c r="AI51" s="2320"/>
      <c r="AJ51" s="2320"/>
      <c r="AK51" s="2320"/>
      <c r="AL51" s="2320"/>
      <c r="AM51" s="2320"/>
      <c r="AN51" s="2389"/>
      <c r="AO51" s="2389"/>
      <c r="AP51" s="2320"/>
      <c r="AQ51" s="2320"/>
      <c r="AR51" s="2320"/>
      <c r="AS51" s="2320"/>
      <c r="AT51" s="2320"/>
      <c r="AU51" s="2320"/>
      <c r="AV51" s="2320"/>
      <c r="AW51" s="2320"/>
      <c r="AX51" s="2320"/>
      <c r="AY51" s="2320"/>
      <c r="AZ51" s="2320"/>
      <c r="BA51" s="2320"/>
      <c r="BB51" s="2321"/>
      <c r="BC51" s="1387"/>
      <c r="BE51" s="502"/>
      <c r="BF51" s="502" t="str">
        <f>IF(T51="","",T51)</f>
        <v/>
      </c>
      <c r="BG51" s="502"/>
      <c r="BH51" s="502"/>
      <c r="BI51" s="513">
        <v>0</v>
      </c>
    </row>
    <row customHeight="1" ht="11.549999999999999">
      <c r="A52" s="1365" t="s">
        <v>256</v>
      </c>
      <c r="B52" s="1365" t="s">
        <v>257</v>
      </c>
      <c r="C52" s="1365" t="s">
        <v>258</v>
      </c>
      <c r="D52" s="1365" t="s">
        <v>537</v>
      </c>
      <c r="E52" s="2278"/>
      <c r="F52" s="2278"/>
      <c r="G52" s="2278"/>
      <c r="H52" s="2278"/>
      <c r="I52" s="2280"/>
      <c r="J52" s="2280"/>
      <c r="K52" s="2279" t="str">
        <f>S48&amp;".1"</f>
        <v>...1</v>
      </c>
      <c r="L52" s="1366"/>
      <c r="P52" s="2281"/>
      <c r="Q52" s="2281"/>
      <c r="R52" s="359">
        <v>1</v>
      </c>
      <c r="S52" s="2361" t="str">
        <f>$K52</f>
        <v>...1</v>
      </c>
      <c r="T52" s="2383"/>
      <c r="U52" s="302"/>
      <c r="V52" s="753"/>
      <c r="W52" s="1259"/>
      <c r="X52" s="753"/>
      <c r="Y52" s="1259"/>
      <c r="Z52" s="1735"/>
      <c r="AA52" s="1471" t="s">
        <v>65</v>
      </c>
      <c r="AB52" s="1735"/>
      <c r="AC52" s="1471" t="s">
        <v>65</v>
      </c>
      <c r="AD52" s="2215" t="s">
        <v>65</v>
      </c>
      <c r="AE52" s="2357"/>
      <c r="AF52" s="2228">
        <v>1</v>
      </c>
      <c r="AG52" s="2382"/>
      <c r="AH52" s="2150" t="s">
        <v>65</v>
      </c>
      <c r="AI52" s="2357"/>
      <c r="AJ52" s="2228">
        <v>1</v>
      </c>
      <c r="AK52" s="2371" t="s">
        <v>22</v>
      </c>
      <c r="AL52" s="2150" t="s">
        <v>65</v>
      </c>
      <c r="AM52" s="2200"/>
      <c r="AN52" s="2228">
        <v>1</v>
      </c>
      <c r="AO52" s="2386"/>
      <c r="AP52" s="2387" t="s">
        <v>65</v>
      </c>
      <c r="AQ52" s="313"/>
      <c r="AR52" s="1488">
        <v>1</v>
      </c>
      <c r="AS52" s="1494" t="s">
        <v>22</v>
      </c>
      <c r="AT52" s="753"/>
      <c r="AU52" s="1259"/>
      <c r="AV52" s="753"/>
      <c r="AW52" s="1259"/>
      <c r="AX52" s="1735"/>
      <c r="AY52" s="1471" t="s">
        <v>65</v>
      </c>
      <c r="AZ52" s="1735"/>
      <c r="BA52" s="1471" t="s">
        <v>65</v>
      </c>
      <c r="BB52" s="1350"/>
      <c r="BC52" s="2307" t="s">
        <v>492</v>
      </c>
      <c r="BE52" s="502"/>
      <c r="BF52" s="502" t="str">
        <f>IF(T52="","",T52)</f>
        <v/>
      </c>
      <c r="BG52" s="502"/>
      <c r="BH52" s="502"/>
      <c r="BI52" s="1157">
        <v>11</v>
      </c>
    </row>
    <row customHeight="1" ht="11.549999999999999">
      <c r="A53" s="1365"/>
      <c r="B53" s="1365"/>
      <c r="C53" s="1365"/>
      <c r="D53" s="1365"/>
      <c r="E53" s="2278"/>
      <c r="F53" s="2278"/>
      <c r="G53" s="2278"/>
      <c r="H53" s="2278"/>
      <c r="I53" s="2280"/>
      <c r="J53" s="2280"/>
      <c r="K53" s="2279"/>
      <c r="L53" s="1366"/>
      <c r="P53" s="2281"/>
      <c r="Q53" s="2281"/>
      <c r="R53" s="359"/>
      <c r="S53" s="2362"/>
      <c r="T53" s="2384"/>
      <c r="U53" s="302"/>
      <c r="V53" s="1395"/>
      <c r="W53" s="1498"/>
      <c r="X53" s="1395"/>
      <c r="Y53" s="1498"/>
      <c r="Z53" s="1395"/>
      <c r="AA53" s="1395"/>
      <c r="AB53" s="1395"/>
      <c r="AC53" s="1395"/>
      <c r="AD53" s="2216"/>
      <c r="AE53" s="2357"/>
      <c r="AF53" s="2228"/>
      <c r="AG53" s="2382"/>
      <c r="AH53" s="2150"/>
      <c r="AI53" s="2357"/>
      <c r="AJ53" s="2228"/>
      <c r="AK53" s="2371"/>
      <c r="AL53" s="2150"/>
      <c r="AM53" s="2208"/>
      <c r="AN53" s="2228"/>
      <c r="AO53" s="2386"/>
      <c r="AP53" s="2388"/>
      <c r="AQ53" s="318"/>
      <c r="AR53" s="418"/>
      <c r="AS53" s="418" t="s">
        <v>493</v>
      </c>
      <c r="AT53" s="1395"/>
      <c r="AU53" s="1498"/>
      <c r="AV53" s="1395"/>
      <c r="AW53" s="1498"/>
      <c r="AX53" s="1395"/>
      <c r="AY53" s="1395"/>
      <c r="AZ53" s="1395"/>
      <c r="BA53" s="1395"/>
      <c r="BB53" s="1399"/>
      <c r="BC53" s="2308"/>
      <c r="BE53" s="502"/>
      <c r="BF53" s="502"/>
      <c r="BG53" s="502"/>
      <c r="BH53" s="502"/>
      <c r="BI53" s="1157">
        <v>11</v>
      </c>
    </row>
    <row customHeight="1" ht="11.549999999999999">
      <c r="A54" s="1365" t="s">
        <v>256</v>
      </c>
      <c r="B54" s="1365"/>
      <c r="C54" s="1365"/>
      <c r="D54" s="1365"/>
      <c r="E54" s="2278"/>
      <c r="F54" s="2278"/>
      <c r="G54" s="2278"/>
      <c r="H54" s="2278"/>
      <c r="I54" s="2280"/>
      <c r="J54" s="2280"/>
      <c r="K54" s="2279"/>
      <c r="L54" s="1366"/>
      <c r="P54" s="2281"/>
      <c r="Q54" s="2281"/>
      <c r="R54" s="359"/>
      <c r="S54" s="2362"/>
      <c r="T54" s="2384"/>
      <c r="U54" s="302"/>
      <c r="V54" s="1395"/>
      <c r="W54" s="1498"/>
      <c r="X54" s="1395"/>
      <c r="Y54" s="1498"/>
      <c r="Z54" s="1395"/>
      <c r="AA54" s="1395"/>
      <c r="AB54" s="1395"/>
      <c r="AC54" s="1395"/>
      <c r="AD54" s="2216"/>
      <c r="AE54" s="2357"/>
      <c r="AF54" s="2228"/>
      <c r="AG54" s="2382"/>
      <c r="AH54" s="2150"/>
      <c r="AI54" s="2357"/>
      <c r="AJ54" s="2228"/>
      <c r="AK54" s="2371"/>
      <c r="AL54" s="2150"/>
      <c r="AM54" s="318"/>
      <c r="AN54" s="1502"/>
      <c r="AO54" s="1502" t="s">
        <v>494</v>
      </c>
      <c r="AP54" s="418"/>
      <c r="AQ54" s="418"/>
      <c r="AR54" s="418"/>
      <c r="AS54" s="1395"/>
      <c r="AT54" s="1395"/>
      <c r="AU54" s="1498"/>
      <c r="AV54" s="1395"/>
      <c r="AW54" s="1498"/>
      <c r="AX54" s="1395"/>
      <c r="AY54" s="1395"/>
      <c r="AZ54" s="1395"/>
      <c r="BA54" s="1395"/>
      <c r="BB54" s="1399"/>
      <c r="BC54" s="2308"/>
      <c r="BE54" s="502"/>
      <c r="BF54" s="502"/>
      <c r="BG54" s="502"/>
      <c r="BH54" s="502"/>
      <c r="BI54" s="1157">
        <v>11</v>
      </c>
    </row>
    <row customHeight="1" ht="11.549999999999999">
      <c r="A55" s="1365" t="s">
        <v>256</v>
      </c>
      <c r="B55" s="1365"/>
      <c r="C55" s="1365"/>
      <c r="D55" s="1365"/>
      <c r="E55" s="2278"/>
      <c r="F55" s="2278"/>
      <c r="G55" s="2278"/>
      <c r="H55" s="2278"/>
      <c r="I55" s="2280"/>
      <c r="J55" s="2280"/>
      <c r="K55" s="2279"/>
      <c r="L55" s="1366"/>
      <c r="P55" s="2281"/>
      <c r="Q55" s="2281"/>
      <c r="R55" s="359"/>
      <c r="S55" s="2362"/>
      <c r="T55" s="2384"/>
      <c r="U55" s="302"/>
      <c r="V55" s="1395"/>
      <c r="W55" s="1498"/>
      <c r="X55" s="1395"/>
      <c r="Y55" s="1498"/>
      <c r="Z55" s="1395"/>
      <c r="AA55" s="1395"/>
      <c r="AB55" s="1395"/>
      <c r="AC55" s="1395"/>
      <c r="AD55" s="2216"/>
      <c r="AE55" s="2357"/>
      <c r="AF55" s="2228"/>
      <c r="AG55" s="2382"/>
      <c r="AH55" s="2150"/>
      <c r="AI55" s="296"/>
      <c r="AJ55" s="417"/>
      <c r="AK55" s="315" t="s">
        <v>495</v>
      </c>
      <c r="AL55" s="1395"/>
      <c r="AM55" s="1395"/>
      <c r="AN55" s="1395"/>
      <c r="AO55" s="1395"/>
      <c r="AP55" s="1395"/>
      <c r="AQ55" s="1395"/>
      <c r="AR55" s="1395"/>
      <c r="AS55" s="1395"/>
      <c r="AT55" s="1395"/>
      <c r="AU55" s="1498"/>
      <c r="AV55" s="1395"/>
      <c r="AW55" s="1498"/>
      <c r="AX55" s="1395"/>
      <c r="AY55" s="1395"/>
      <c r="AZ55" s="1395"/>
      <c r="BA55" s="1395"/>
      <c r="BB55" s="1399"/>
      <c r="BC55" s="2308"/>
      <c r="BE55" s="502"/>
      <c r="BF55" s="502"/>
      <c r="BG55" s="502"/>
      <c r="BH55" s="502"/>
      <c r="BI55" s="1157">
        <v>11</v>
      </c>
    </row>
    <row customHeight="1" ht="11.549999999999999">
      <c r="A56" s="1365" t="s">
        <v>256</v>
      </c>
      <c r="B56" s="1365" t="s">
        <v>257</v>
      </c>
      <c r="C56" s="1365" t="s">
        <v>258</v>
      </c>
      <c r="D56" s="1365" t="s">
        <v>537</v>
      </c>
      <c r="E56" s="2278"/>
      <c r="F56" s="2278"/>
      <c r="G56" s="2278"/>
      <c r="H56" s="2278"/>
      <c r="I56" s="2280"/>
      <c r="J56" s="2280"/>
      <c r="K56" s="2279"/>
      <c r="L56" s="1366"/>
      <c r="P56" s="2281"/>
      <c r="Q56" s="2281"/>
      <c r="R56" s="359"/>
      <c r="S56" s="2363"/>
      <c r="T56" s="2385"/>
      <c r="U56" s="302"/>
      <c r="V56" s="1395"/>
      <c r="W56" s="1396" t="str">
        <f>Z52&amp;"-"&amp;AB52</f>
        <v>-</v>
      </c>
      <c r="X56" s="1395"/>
      <c r="Y56" s="1396" t="str">
        <f>AB52&amp;"-"&amp;AD52</f>
        <v>-да</v>
      </c>
      <c r="Z56" s="1395"/>
      <c r="AA56" s="1395"/>
      <c r="AB56" s="1395"/>
      <c r="AC56" s="1395"/>
      <c r="AD56" s="2155"/>
      <c r="AE56" s="314"/>
      <c r="AF56" s="316"/>
      <c r="AG56" s="418" t="s">
        <v>496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308"/>
      <c r="BE56" s="502"/>
      <c r="BF56" s="502" t="str">
        <f>IF(T56="","",T56)</f>
        <v/>
      </c>
      <c r="BG56" s="502"/>
      <c r="BH56" s="502"/>
      <c r="BI56" s="1157">
        <v>11</v>
      </c>
    </row>
    <row customHeight="1" ht="11.549999999999999">
      <c r="A57" s="1365" t="s">
        <v>256</v>
      </c>
      <c r="B57" s="1365" t="s">
        <v>257</v>
      </c>
      <c r="C57" s="1365" t="s">
        <v>258</v>
      </c>
      <c r="D57" s="1365" t="s">
        <v>537</v>
      </c>
      <c r="E57" s="2278"/>
      <c r="F57" s="2278"/>
      <c r="G57" s="2278"/>
      <c r="H57" s="2278"/>
      <c r="I57" s="2280"/>
      <c r="J57" s="2279"/>
      <c r="K57" s="1365"/>
      <c r="L57" s="1366"/>
      <c r="P57" s="2281"/>
      <c r="Q57" s="2281"/>
      <c r="R57" s="358"/>
      <c r="S57" s="1280"/>
      <c r="T57" s="289" t="s">
        <v>459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309"/>
      <c r="BE57" s="502"/>
      <c r="BF57" s="502" t="str">
        <f>IF(T57="","",T57)</f>
        <v>Добавить строку</v>
      </c>
      <c r="BG57" s="502"/>
      <c r="BH57" s="502"/>
      <c r="BI57" s="1157">
        <v>11</v>
      </c>
    </row>
    <row s="1644" customFormat="1" customHeight="1" ht="0">
      <c r="A58" s="1345" t="s">
        <v>256</v>
      </c>
      <c r="B58" s="1345" t="s">
        <v>257</v>
      </c>
      <c r="C58" s="1345" t="s">
        <v>258</v>
      </c>
      <c r="D58" s="1345" t="s">
        <v>537</v>
      </c>
      <c r="E58" s="2278"/>
      <c r="F58" s="2278"/>
      <c r="G58" s="2278"/>
      <c r="H58" s="2278"/>
      <c r="I58" s="2279"/>
      <c r="J58" s="1345"/>
      <c r="K58" s="1345"/>
      <c r="L58" s="1348"/>
      <c r="M58" s="512"/>
      <c r="N58" s="512"/>
      <c r="O58" s="512"/>
      <c r="P58" s="2281"/>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256</v>
      </c>
      <c r="B59" s="1345" t="s">
        <v>257</v>
      </c>
      <c r="C59" s="1345" t="s">
        <v>258</v>
      </c>
      <c r="D59" s="1345" t="s">
        <v>537</v>
      </c>
      <c r="E59" s="2278"/>
      <c r="F59" s="2278"/>
      <c r="G59" s="2278"/>
      <c r="H59" s="2277"/>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256</v>
      </c>
      <c r="B60" s="1345" t="s">
        <v>257</v>
      </c>
      <c r="C60" s="1345" t="s">
        <v>258</v>
      </c>
      <c r="D60" s="1316"/>
      <c r="E60" s="2278"/>
      <c r="F60" s="2278"/>
      <c r="G60" s="2277"/>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256</v>
      </c>
      <c r="B61" s="1345" t="s">
        <v>257</v>
      </c>
      <c r="C61" s="1316"/>
      <c r="D61" s="1316"/>
      <c r="E61" s="2278"/>
      <c r="F61" s="2277"/>
      <c r="G61" s="1316"/>
      <c r="H61" s="1316"/>
      <c r="I61" s="1316"/>
      <c r="J61" s="1316"/>
      <c r="K61" s="1316"/>
      <c r="L61" s="1496"/>
      <c r="M61" s="1323"/>
      <c r="N61" s="1323"/>
      <c r="P61" s="1318"/>
      <c r="Q61" s="1319"/>
      <c r="R61" s="1318"/>
      <c r="S61" s="1324"/>
      <c r="T61" s="1327" t="s">
        <v>410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256</v>
      </c>
      <c r="B62" s="1345"/>
      <c r="C62" s="1345"/>
      <c r="D62" s="1345"/>
      <c r="E62" s="2277"/>
      <c r="F62" s="1345"/>
      <c r="G62" s="1345"/>
      <c r="H62" s="1345"/>
      <c r="I62" s="1345"/>
      <c r="J62" s="1345"/>
      <c r="K62" s="1345"/>
      <c r="L62" s="1348"/>
      <c r="M62" s="1323"/>
      <c r="N62" s="1323"/>
      <c r="O62" s="520"/>
      <c r="P62" s="382"/>
      <c r="Q62" s="1346"/>
      <c r="R62" s="382"/>
      <c r="S62" s="1324"/>
      <c r="T62" s="1327" t="s">
        <v>411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439</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76"/>
      <c r="U65" s="2276"/>
      <c r="V65" s="2276"/>
      <c r="W65" s="2276"/>
      <c r="X65" s="2276"/>
      <c r="Y65" s="2276"/>
      <c r="Z65" s="2276"/>
      <c r="AA65" s="2276"/>
      <c r="AB65" s="2276"/>
      <c r="AC65" s="2276"/>
      <c r="AD65" s="2276"/>
      <c r="AE65" s="2276"/>
      <c r="AF65" s="2276"/>
      <c r="AG65" s="2276"/>
      <c r="AH65" s="2276"/>
      <c r="AI65" s="2276"/>
      <c r="AJ65" s="2276"/>
      <c r="AK65" s="2276"/>
      <c r="AL65" s="2276"/>
      <c r="AM65" s="2276"/>
      <c r="AN65" s="2276"/>
      <c r="AO65" s="2276"/>
      <c r="AP65" s="2276"/>
      <c r="AQ65" s="2276"/>
      <c r="AR65" s="2276"/>
      <c r="AS65" s="2276"/>
      <c r="AT65" s="2276"/>
      <c r="AU65" s="2276"/>
      <c r="AV65" s="2276"/>
      <c r="AW65" s="2276"/>
      <c r="AX65" s="2276"/>
      <c r="AY65" s="2276"/>
      <c r="AZ65" s="2276"/>
      <c r="BA65" s="2276"/>
      <c r="BB65" s="2276"/>
      <c r="BC65" s="2276"/>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76"/>
      <c r="U67" s="2276"/>
      <c r="V67" s="2276"/>
      <c r="W67" s="2276"/>
      <c r="X67" s="2276"/>
      <c r="Y67" s="2276"/>
      <c r="Z67" s="2276"/>
      <c r="AA67" s="2276"/>
      <c r="AB67" s="2276"/>
      <c r="AC67" s="2276"/>
      <c r="AD67" s="2276"/>
      <c r="AE67" s="2276"/>
      <c r="AF67" s="2276"/>
      <c r="AG67" s="2276"/>
      <c r="AH67" s="2276"/>
      <c r="AI67" s="2276"/>
      <c r="AJ67" s="2276"/>
      <c r="AK67" s="2276"/>
      <c r="AL67" s="2276"/>
      <c r="AM67" s="2276"/>
      <c r="AN67" s="2276"/>
      <c r="AO67" s="2276"/>
      <c r="AP67" s="2276"/>
      <c r="AQ67" s="2276"/>
      <c r="AR67" s="2276"/>
      <c r="AS67" s="2276"/>
      <c r="AT67" s="2276"/>
      <c r="AU67" s="2276"/>
      <c r="AV67" s="2276"/>
      <c r="AW67" s="2276"/>
      <c r="AX67" s="2276"/>
      <c r="AY67" s="2276"/>
      <c r="AZ67" s="2276"/>
      <c r="BA67" s="2276"/>
      <c r="BB67" s="2276"/>
      <c r="BC67" s="2276"/>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EB4CFB-1F58-7B98-AD34-009D529407B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22"/>
      <c r="C2" s="1169" t="s">
        <v>538</v>
      </c>
      <c r="D2" s="1640"/>
      <c r="E2" s="548">
        <f>B2</f>
        <v>0</v>
      </c>
      <c r="F2" s="549"/>
      <c r="G2" s="1648" t="s">
        <v>539</v>
      </c>
      <c r="H2" s="1648" t="s">
        <v>539</v>
      </c>
      <c r="I2" s="1648" t="s">
        <v>539</v>
      </c>
      <c r="J2" s="291" t="s">
        <v>540</v>
      </c>
      <c r="K2" s="545"/>
      <c r="AF2" s="1633">
        <v>0</v>
      </c>
    </row>
    <row s="1644" customFormat="1" customHeight="1" ht="0.75" hidden="1">
      <c r="B3" s="2122"/>
      <c r="C3" s="1169"/>
      <c r="D3" s="550"/>
      <c r="E3" s="551"/>
      <c r="F3" s="552" t="s">
        <v>541</v>
      </c>
      <c r="G3" s="553"/>
      <c r="H3" s="1015">
        <f>H4*H5+H6</f>
        <v>0</v>
      </c>
      <c r="I3" s="553">
        <f>I4*I5+I6</f>
        <v>0</v>
      </c>
      <c r="J3" s="554"/>
      <c r="AF3" s="1638">
        <v>0</v>
      </c>
    </row>
    <row customHeight="1" ht="23.25" hidden="1">
      <c r="B4" s="2122"/>
      <c r="C4" s="1169"/>
      <c r="D4" s="1640"/>
      <c r="E4" s="548" t="str">
        <f>B2&amp;".1"</f>
        <v>.1</v>
      </c>
      <c r="F4" s="555" t="s">
        <v>542</v>
      </c>
      <c r="G4" s="556"/>
      <c r="H4" s="543"/>
      <c r="I4" s="543"/>
      <c r="J4" s="291" t="s">
        <v>543</v>
      </c>
      <c r="K4" s="545"/>
      <c r="AF4" s="1633">
        <v>0</v>
      </c>
    </row>
    <row customHeight="1" ht="18.75" hidden="1">
      <c r="B5" s="2122"/>
      <c r="C5" s="1169"/>
      <c r="D5" s="1640"/>
      <c r="E5" s="548" t="str">
        <f>B2&amp;".2"</f>
        <v>.2</v>
      </c>
      <c r="F5" s="555" t="s">
        <v>544</v>
      </c>
      <c r="G5" s="1648" t="s">
        <v>545</v>
      </c>
      <c r="H5" s="543"/>
      <c r="I5" s="543"/>
      <c r="J5" s="291"/>
      <c r="K5" s="545"/>
      <c r="AF5" s="1633">
        <v>0</v>
      </c>
    </row>
    <row customHeight="1" ht="18.75" hidden="1">
      <c r="B6" s="2122"/>
      <c r="C6" s="1169"/>
      <c r="D6" s="1640"/>
      <c r="E6" s="548" t="str">
        <f>B2&amp;".3"</f>
        <v>.3</v>
      </c>
      <c r="F6" s="555" t="s">
        <v>546</v>
      </c>
      <c r="G6" s="1648" t="s">
        <v>545</v>
      </c>
      <c r="H6" s="543"/>
      <c r="I6" s="543"/>
      <c r="J6" s="291"/>
      <c r="K6" s="545"/>
      <c r="AF6" s="1633">
        <v>0</v>
      </c>
    </row>
    <row customHeight="1" ht="18.75" hidden="1">
      <c r="B7" s="2122"/>
      <c r="C7" s="1169"/>
      <c r="D7" s="1640"/>
      <c r="E7" s="548" t="str">
        <f>B2&amp;".4"</f>
        <v>.4</v>
      </c>
      <c r="F7" s="555" t="s">
        <v>547</v>
      </c>
      <c r="G7" s="1648" t="s">
        <v>539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545</v>
      </c>
      <c r="H9" s="543"/>
      <c r="I9" s="543"/>
      <c r="J9" s="544" t="s">
        <v>548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549</v>
      </c>
      <c r="H11" s="543"/>
      <c r="I11" s="543"/>
      <c r="J11" s="291" t="s">
        <v>550</v>
      </c>
      <c r="K11" s="545"/>
      <c r="AF11" s="1633">
        <v>0</v>
      </c>
    </row>
    <row customHeight="1" ht="11.25" hidden="1">
      <c r="AF12" s="1633">
        <v>0</v>
      </c>
    </row>
    <row customHeight="1" ht="22.5" hidden="1">
      <c r="D13" s="1640"/>
      <c r="E13" s="548"/>
      <c r="F13" s="542"/>
      <c r="G13" s="971" t="s">
        <v>551</v>
      </c>
      <c r="H13" s="547"/>
      <c r="I13" s="547"/>
      <c r="J13" s="747" t="s">
        <v>552</v>
      </c>
      <c r="K13" s="545"/>
      <c r="AF13" s="1633">
        <v>0</v>
      </c>
    </row>
    <row customHeight="1" ht="11.25" hidden="1">
      <c r="AF14" s="1633">
        <v>0</v>
      </c>
    </row>
    <row customHeight="1" ht="22.5" hidden="1">
      <c r="D15" s="1640"/>
      <c r="E15" s="548"/>
      <c r="F15" s="542"/>
      <c r="G15" s="1648" t="s">
        <v>553</v>
      </c>
      <c r="H15" s="547"/>
      <c r="I15" s="547"/>
      <c r="J15" s="291" t="s">
        <v>554</v>
      </c>
      <c r="K15" s="545"/>
      <c r="AF15" s="1633">
        <v>0</v>
      </c>
    </row>
    <row customHeight="1" ht="11.25" hidden="1">
      <c r="AF16" s="1633">
        <v>0</v>
      </c>
    </row>
    <row customHeight="1" ht="22.5" hidden="1">
      <c r="D17" s="1640"/>
      <c r="E17" s="548"/>
      <c r="F17" s="542"/>
      <c r="G17" s="1648" t="s">
        <v>555</v>
      </c>
      <c r="H17" s="547"/>
      <c r="I17" s="547"/>
      <c r="J17" s="291" t="s">
        <v>556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31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310"/>
      <c r="G21" s="2310"/>
      <c r="H21" s="2310"/>
      <c r="I21" s="2310"/>
      <c r="J21" s="558"/>
      <c r="AF21" s="1633">
        <v>24</v>
      </c>
    </row>
    <row customHeight="1" ht="25.2">
      <c r="E22" s="2311" t="str">
        <f>IF(org=0,"Не определено",org)</f>
        <v>Муниципальное унитарное предприятие "Невельские коммунальные сети"</v>
      </c>
      <c r="F22" s="2311"/>
      <c r="G22" s="2311"/>
      <c r="H22" s="2311"/>
      <c r="I22" s="2311"/>
      <c r="AF22" s="1633">
        <v>24</v>
      </c>
    </row>
    <row customHeight="1" ht="11.549999999999999">
      <c r="E23" s="1137"/>
      <c r="F23" s="1137"/>
      <c r="G23" s="1137"/>
      <c r="H23" s="1137"/>
      <c r="I23" s="1137"/>
      <c r="AF23" s="1633">
        <v>11</v>
      </c>
    </row>
    <row s="1644" customFormat="1" customHeight="1" ht="1.05">
      <c r="A24" s="1169"/>
      <c r="D24" s="1644"/>
      <c r="H24" s="891"/>
      <c r="I24" s="891" t="s">
        <v>114</v>
      </c>
      <c r="AF24" s="1638">
        <v>1</v>
      </c>
    </row>
    <row customHeight="1" ht="11.549999999999999">
      <c r="E25" s="713"/>
      <c r="F25" s="2395" t="s">
        <v>102</v>
      </c>
      <c r="G25" s="2396"/>
      <c r="H25" s="1654" t="str">
        <f>IF(H24="","",INDEX(DIFFERENTIATION_UNMERGE_VD,MATCH(H24,DIFFERENTIATION_ID_DIFF,0)))</f>
        <v/>
      </c>
      <c r="I25" s="1654">
        <f>IF(I24="","",INDEX(DIFFERENTIATION_UNMERGE_VD,MATCH(I24,DIFFERENTIATION_ID_DIFF,0)))</f>
        <v>0</v>
      </c>
      <c r="J25" s="2140"/>
      <c r="AF25" s="1633">
        <v>11</v>
      </c>
    </row>
    <row customHeight="1" ht="11.549999999999999">
      <c r="E26" s="713"/>
      <c r="F26" s="2395" t="s">
        <v>557</v>
      </c>
      <c r="G26" s="2396"/>
      <c r="H26" s="1654" t="str">
        <f>IF(H24="","",INDEX(DIFFERENTIATION_UNMERGE_AREA,MATCH(H24,DIFFERENTIATION_ID_DIFF,0)))</f>
        <v/>
      </c>
      <c r="I26" s="1654" t="str">
        <f>IF(I24="","",INDEX(DIFFERENTIATION_UNMERGE_AREA,MATCH(I24,DIFFERENTIATION_ID_DIFF,0)))</f>
        <v/>
      </c>
      <c r="J26" s="2140"/>
      <c r="AF26" s="1633">
        <v>11</v>
      </c>
    </row>
    <row customHeight="1" ht="11.549999999999999">
      <c r="E27" s="713"/>
      <c r="F27" s="2395" t="s">
        <v>558</v>
      </c>
      <c r="G27" s="2396"/>
      <c r="H27" s="1654" t="str">
        <f>IF(H24="","",INDEX(DIFFERENTIATION_UNMERGE_SYSTEM,MATCH(H24,DIFFERENTIATION_ID_DIFF,0)))</f>
        <v/>
      </c>
      <c r="I27" s="1654" t="str">
        <f>IF(I24="","",INDEX(DIFFERENTIATION_UNMERGE_SYSTEM,MATCH(I24,DIFFERENTIATION_ID_DIFF,0)))</f>
        <v>без дифференциации</v>
      </c>
      <c r="J27" s="2140"/>
      <c r="AF27" s="1633">
        <v>11</v>
      </c>
    </row>
    <row customHeight="1" ht="11.549999999999999">
      <c r="E28" s="2397" t="s">
        <v>295</v>
      </c>
      <c r="F28" s="2398"/>
      <c r="G28" s="2398"/>
      <c r="H28" s="1647"/>
      <c r="I28" s="1647"/>
      <c r="J28" s="2140"/>
      <c r="AF28" s="1633">
        <v>11</v>
      </c>
    </row>
    <row customHeight="1" ht="24">
      <c r="E29" s="1648" t="s">
        <v>88</v>
      </c>
      <c r="F29" s="1655" t="s">
        <v>297</v>
      </c>
      <c r="G29" s="1655" t="s">
        <v>559</v>
      </c>
      <c r="H29" s="1655" t="s">
        <v>298</v>
      </c>
      <c r="I29" s="1655" t="s">
        <v>298</v>
      </c>
      <c r="J29" s="2140"/>
      <c r="AF29" s="1633">
        <v>23</v>
      </c>
    </row>
    <row customHeight="1" ht="19.95">
      <c r="D30" s="1640"/>
      <c r="E30" s="548">
        <f>FHD_NUM_P_1</f>
        <v>1</v>
      </c>
      <c r="F30" s="1879" t="str">
        <f>FHD_P_1</f>
        <v>Выручка от регулируемых видов деятельности в сфере холодного водоснабжения</v>
      </c>
      <c r="G30" s="1877" t="s">
        <v>545</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79" t="str">
        <f>FHD_P_2</f>
        <v>Себестоимость производимых товаров (оказываемых услуг) по регулируемым видам деятельности в сфере холодного водоснабжения, включая:</v>
      </c>
      <c r="G31" s="1877" t="s">
        <v>545</v>
      </c>
      <c r="H31" s="560">
        <f>SUMIF($K32:$K71,$K31,H32:H71)</f>
        <v>0</v>
      </c>
      <c r="I31" s="560">
        <f>SUMIF($K32:$K71,$K31,I32:I71)</f>
        <v>0</v>
      </c>
      <c r="J31" s="291" t="str">
        <f>FHD_NOTE_P_2</f>
        <v>Указывается суммарная себестоимость производимых товаров.</v>
      </c>
      <c r="K31" s="1638" t="s">
        <v>560</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77" t="s">
        <v>545</v>
      </c>
      <c r="H32" s="559"/>
      <c r="I32" s="559"/>
      <c r="J32" s="291" t="str">
        <f>FHD_NOTE_P_3</f>
        <v/>
      </c>
      <c r="K32" s="1638" t="str">
        <f>IF((LEN(E32)-LEN(SUBSTITUTE(E32,".","")))/LEN(".")=1,"p","")</f>
        <v>p</v>
      </c>
      <c r="AF32" s="1633">
        <v>11</v>
      </c>
    </row>
    <row customHeight="1" ht="11.25" hidden="1">
      <c r="A33" s="2392" t="s">
        <v>561</v>
      </c>
      <c r="D33" s="1640"/>
      <c r="E33" s="548" t="str">
        <f>FHD_NUM_P_4</f>
        <v/>
      </c>
      <c r="F33" s="1526" t="str">
        <f>FHD_P_4</f>
        <v/>
      </c>
      <c r="G33" s="1877" t="s">
        <v>545</v>
      </c>
      <c r="H33" s="560">
        <f>SUMIF($F34:$F40,$F3,H34:H40)</f>
        <v>0</v>
      </c>
      <c r="I33" s="560">
        <f>SUMIF($F34:$F40,$F3,I34:I40)</f>
        <v>0</v>
      </c>
      <c r="J33" s="291" t="str">
        <f>FHD_NOTE_P_4</f>
        <v/>
      </c>
      <c r="K33" s="1638" t="str">
        <f>IF((LEN(E33)-LEN(SUBSTITUTE(E33,".","")))/LEN(".")=1,"p","")</f>
        <v/>
      </c>
      <c r="AF33" s="1633">
        <v>0</v>
      </c>
    </row>
    <row s="1643" customFormat="1" customHeight="1" ht="0.75" hidden="1">
      <c r="A34" s="2392"/>
      <c r="B34" s="2393"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92"/>
      <c r="B35" s="2393"/>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92"/>
      <c r="B36" s="2393"/>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92"/>
      <c r="B37" s="2393"/>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92"/>
      <c r="B38" s="2393"/>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92"/>
      <c r="B39" s="2393"/>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92"/>
      <c r="C40" s="1638"/>
      <c r="D40" s="1635"/>
      <c r="E40" s="572"/>
      <c r="F40" s="573" t="s">
        <v>562</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92" t="s">
        <v>563</v>
      </c>
      <c r="D41" s="1640"/>
      <c r="E41" s="548" t="str">
        <f>FHD_NUM_P_5</f>
        <v/>
      </c>
      <c r="F41" s="1526" t="str">
        <f>FHD_P_5</f>
        <v/>
      </c>
      <c r="G41" s="1877" t="s">
        <v>545</v>
      </c>
      <c r="H41" s="559"/>
      <c r="I41" s="559"/>
      <c r="J41" s="291" t="str">
        <f>FHD_NOTE_P_5</f>
        <v/>
      </c>
      <c r="K41" s="1638" t="str">
        <f>IF((LEN(E41)-LEN(SUBSTITUTE(E41,".","")))/LEN(".")=1,"p","")</f>
        <v/>
      </c>
      <c r="AF41" s="1633">
        <v>0</v>
      </c>
    </row>
    <row customHeight="1" ht="11.25" hidden="1">
      <c r="A42" s="2392"/>
      <c r="D42" s="1640"/>
      <c r="E42" s="548" t="str">
        <f>FHD_NUM_P_6</f>
        <v/>
      </c>
      <c r="F42" s="1526" t="str">
        <f>FHD_P_6</f>
        <v/>
      </c>
      <c r="G42" s="1877" t="s">
        <v>545</v>
      </c>
      <c r="H42" s="559"/>
      <c r="I42" s="559"/>
      <c r="J42" s="291" t="str">
        <f>FHD_NOTE_P_6</f>
        <v/>
      </c>
      <c r="K42" s="1638" t="str">
        <f>IF((LEN(E42)-LEN(SUBSTITUTE(E42,".","")))/LEN(".")=1,"p","")</f>
        <v/>
      </c>
      <c r="AF42" s="1633">
        <v>0</v>
      </c>
    </row>
    <row customHeight="1" ht="11.25" hidden="1">
      <c r="A43" s="2392"/>
      <c r="D43" s="1640"/>
      <c r="E43" s="548" t="str">
        <f>FHD_NUM_P_7</f>
        <v/>
      </c>
      <c r="F43" s="1526" t="str">
        <f>FHD_P_7</f>
        <v/>
      </c>
      <c r="G43" s="1877" t="s">
        <v>545</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77" t="s">
        <v>545</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77" t="s">
        <v>564</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77" t="s">
        <v>565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566</v>
      </c>
      <c r="C47" s="1638"/>
      <c r="D47" s="577"/>
      <c r="E47" s="548" t="str">
        <f>FHD_NUM_P_11</f>
        <v/>
      </c>
      <c r="F47" s="1526" t="str">
        <f>FHD_P_11</f>
        <v/>
      </c>
      <c r="G47" s="1877" t="s">
        <v>545</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567</v>
      </c>
      <c r="C48" s="1638"/>
      <c r="D48" s="1640"/>
      <c r="E48" s="548" t="str">
        <f>FHD_NUM_P_12</f>
        <v>2.3</v>
      </c>
      <c r="F48" s="1526" t="str">
        <f>FHD_P_12</f>
        <v>Расходы на химические реагенты, используемые в технологическом процессе</v>
      </c>
      <c r="G48" s="1877" t="s">
        <v>545</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7" t="s">
        <v>545</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77" t="s">
        <v>545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77" t="s">
        <v>545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7" t="s">
        <v>545</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77" t="s">
        <v>545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7" t="s">
        <v>545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77" t="s">
        <v>545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77" t="s">
        <v>545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77" t="s">
        <v>545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77" t="s">
        <v>545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77" t="s">
        <v>545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77" t="s">
        <v>545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77" t="s">
        <v>545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77" t="s">
        <v>545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77" t="s">
        <v>545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77" t="s">
        <v>545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77" t="s">
        <v>545</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7" t="s">
        <v>301</v>
      </c>
      <c r="H66" s="1651" t="s">
        <v>568</v>
      </c>
      <c r="I66" s="1651" t="s">
        <v>568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92" t="s">
        <v>569</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7" t="s">
        <v>545</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92"/>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7" t="s">
        <v>301</v>
      </c>
      <c r="H68" s="1651" t="s">
        <v>568</v>
      </c>
      <c r="I68" s="1651" t="s">
        <v>568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8" t="s">
        <v>545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570</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571</v>
      </c>
      <c r="C72" s="1638"/>
      <c r="D72" s="1640"/>
      <c r="E72" s="548" t="str">
        <f>FHD_NUM_P_34</f>
        <v/>
      </c>
      <c r="F72" s="1879" t="str">
        <f>FHD_P_34</f>
        <v/>
      </c>
      <c r="G72" s="1877" t="s">
        <v>545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79" t="str">
        <f>FHD_P_35</f>
        <v>Чистая прибыль, полученная от регулируемого вида деятельности в сфере холодного водоснабжения, в том числе:</v>
      </c>
      <c r="G73" s="1877" t="s">
        <v>545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7" t="s">
        <v>545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79" t="str">
        <f>FHD_P_37</f>
        <v>Изменение стоимости основных фондов, в том числе:</v>
      </c>
      <c r="G75" s="1877" t="s">
        <v>545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77" t="s">
        <v>545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1" t="s">
        <v>545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5" t="str">
        <f>FHD_P_40</f>
        <v>Изменение стоимости основных фондов за счет их вывода в эксплуатацию</v>
      </c>
      <c r="G78" s="2070" t="s">
        <v>545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4" t="str">
        <f>FHD_P_41</f>
        <v>Изменение стоимости основных фондов за счет их переоценки</v>
      </c>
      <c r="G79" s="2070" t="s">
        <v>545</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572</v>
      </c>
      <c r="C80" s="1638"/>
      <c r="D80" s="1640"/>
      <c r="E80" s="548" t="str">
        <f>FHD_NUM_P_42</f>
        <v>5</v>
      </c>
      <c r="F80" s="2072" t="str">
        <f>FHD_P_42</f>
        <v>Валовая прибыль (убытки) от продажи товаров и услуг по регулируемым видам деятельности в сфере холодного водоснабжения</v>
      </c>
      <c r="G80" s="2070" t="s">
        <v>545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t="s">
        <v>573</v>
      </c>
      <c r="D81" s="1640"/>
      <c r="E81" s="548" t="str">
        <f>FHD_NUM_P_43</f>
        <v>6</v>
      </c>
      <c r="F81" s="1879" t="str">
        <f>FHD_P_43</f>
        <v>Годовая бухгалтерская (финансовая) отчетность, включая бухгалтерский баланс и приложения к нему</v>
      </c>
      <c r="G81" s="2073" t="s">
        <v>301</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92" t="s">
        <v>574</v>
      </c>
      <c r="C82" s="737"/>
      <c r="D82" s="735"/>
      <c r="E82" s="548" t="str">
        <f>FHD_NUM_P_44</f>
        <v>7</v>
      </c>
      <c r="F82" s="1879" t="str">
        <f>FHD_P_44</f>
        <v>Объём поднятой воды</v>
      </c>
      <c r="G82" s="1880" t="s">
        <v>575</v>
      </c>
      <c r="H82" s="979"/>
      <c r="I82" s="579"/>
      <c r="J82" s="291" t="str">
        <f>FHD_NOTE_P_44</f>
        <v/>
      </c>
      <c r="K82" s="736"/>
      <c r="L82" s="737"/>
      <c r="M82" s="737"/>
      <c r="R82" s="737"/>
      <c r="U82" s="738"/>
      <c r="AA82" s="739"/>
      <c r="AB82" s="739"/>
      <c r="AC82" s="739"/>
      <c r="AD82" s="739"/>
      <c r="AE82" s="739"/>
      <c r="AF82" s="912">
        <v>0</v>
      </c>
    </row>
    <row s="1368" customFormat="1" customHeight="1" ht="18.75">
      <c r="A83" s="2392"/>
      <c r="C83" s="737"/>
      <c r="D83" s="735"/>
      <c r="E83" s="548" t="str">
        <f>FHD_NUM_P_45</f>
        <v>8</v>
      </c>
      <c r="F83" s="1879" t="str">
        <f>FHD_P_45</f>
        <v>Объём покупной воды</v>
      </c>
      <c r="G83" s="1880" t="s">
        <v>575</v>
      </c>
      <c r="H83" s="979"/>
      <c r="I83" s="579"/>
      <c r="J83" s="291" t="str">
        <f>FHD_NOTE_P_45</f>
        <v/>
      </c>
      <c r="K83" s="736"/>
      <c r="L83" s="737"/>
      <c r="M83" s="737"/>
      <c r="R83" s="737"/>
      <c r="U83" s="738"/>
      <c r="AA83" s="739"/>
      <c r="AB83" s="739"/>
      <c r="AC83" s="739"/>
      <c r="AD83" s="739"/>
      <c r="AE83" s="739"/>
      <c r="AF83" s="912">
        <v>0</v>
      </c>
    </row>
    <row s="1368" customFormat="1" customHeight="1" ht="18.75">
      <c r="A84" s="2392"/>
      <c r="C84" s="737"/>
      <c r="D84" s="740"/>
      <c r="E84" s="548" t="str">
        <f>FHD_NUM_P_46</f>
        <v>9</v>
      </c>
      <c r="F84" s="1879" t="str">
        <f>FHD_P_46</f>
        <v>Объём воды, пропущенной через очистные сооружения</v>
      </c>
      <c r="G84" s="1880" t="s">
        <v>575</v>
      </c>
      <c r="H84" s="979"/>
      <c r="I84" s="579"/>
      <c r="J84" s="291" t="str">
        <f>FHD_NOTE_P_46</f>
        <v/>
      </c>
      <c r="K84" s="736"/>
      <c r="L84" s="737"/>
      <c r="M84" s="737"/>
      <c r="R84" s="737"/>
      <c r="U84" s="738"/>
      <c r="AA84" s="739"/>
      <c r="AB84" s="739"/>
      <c r="AC84" s="739"/>
      <c r="AD84" s="739"/>
      <c r="AE84" s="739"/>
      <c r="AF84" s="912">
        <v>0</v>
      </c>
    </row>
    <row s="1368" customFormat="1" customHeight="1" ht="18.75">
      <c r="A85" s="2392"/>
      <c r="C85" s="737"/>
      <c r="D85" s="735"/>
      <c r="E85" s="548" t="str">
        <f>FHD_NUM_P_47</f>
        <v>10</v>
      </c>
      <c r="F85" s="1879" t="str">
        <f>FHD_P_47</f>
        <v>Объём отпущенной потребителям воды, в том числе:</v>
      </c>
      <c r="G85" s="1880" t="s">
        <v>575</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92"/>
      <c r="B86" s="912"/>
      <c r="C86" s="737"/>
      <c r="D86" s="735"/>
      <c r="E86" s="548" t="str">
        <f>FHD_NUM_P_48</f>
        <v>10.1</v>
      </c>
      <c r="F86" s="1879" t="str">
        <f>FHD_P_48</f>
        <v>Объём отпущенной потребителям воды, определенный по приборам учета</v>
      </c>
      <c r="G86" s="1880" t="s">
        <v>575</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92"/>
      <c r="B87" s="912"/>
      <c r="C87" s="737"/>
      <c r="D87" s="735"/>
      <c r="E87" s="548" t="str">
        <f>FHD_NUM_P_49</f>
        <v>10.2</v>
      </c>
      <c r="F87" s="1879" t="str">
        <f>FHD_P_49</f>
        <v>Объём отпущенной потребителям воды, определенный расчетным способом</v>
      </c>
      <c r="G87" s="1880" t="s">
        <v>575</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92"/>
      <c r="B88" s="912"/>
      <c r="C88" s="737"/>
      <c r="D88" s="735"/>
      <c r="E88" s="548" t="str">
        <f>FHD_NUM_P_50</f>
        <v>10.2.1</v>
      </c>
      <c r="F88" s="1879" t="str">
        <f>FHD_P_50</f>
        <v>Объём отпущенной потребителям воды, определенный по нормативам потребления коммунальных услуг</v>
      </c>
      <c r="G88" s="1880" t="s">
        <v>575</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92"/>
      <c r="B89" s="912"/>
      <c r="C89" s="737"/>
      <c r="D89" s="735"/>
      <c r="E89" s="548" t="str">
        <f>FHD_NUM_P_51</f>
        <v>10.2.2</v>
      </c>
      <c r="F89" s="1879" t="str">
        <f>FHD_P_51</f>
        <v>Объём отпущенной потребителям воды, определенный по нормативам потребления коммунальных ресурсов </v>
      </c>
      <c r="G89" s="1880" t="s">
        <v>575</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92"/>
      <c r="B90" s="912"/>
      <c r="C90" s="737"/>
      <c r="D90" s="735"/>
      <c r="E90" s="548" t="str">
        <f>FHD_NUM_P_52</f>
        <v>11</v>
      </c>
      <c r="F90" s="1879" t="str">
        <f>FHD_P_52</f>
        <v>Потери воды в сетях</v>
      </c>
      <c r="G90" s="1880" t="s">
        <v>551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94" t="s">
        <v>576</v>
      </c>
      <c r="C91" s="737"/>
      <c r="D91" s="735"/>
      <c r="E91" s="548" t="str">
        <f>FHD_NUM_P_53</f>
        <v/>
      </c>
      <c r="F91" s="1879" t="str">
        <f>FHD_P_53</f>
        <v/>
      </c>
      <c r="G91" s="1880" t="s">
        <v>575</v>
      </c>
      <c r="H91" s="979"/>
      <c r="I91" s="579"/>
      <c r="J91" s="291" t="str">
        <f>FHD_NOTE_P_53</f>
        <v/>
      </c>
      <c r="K91" s="736"/>
      <c r="L91" s="737"/>
      <c r="M91" s="737"/>
      <c r="R91" s="737"/>
      <c r="U91" s="738"/>
      <c r="AA91" s="739"/>
      <c r="AB91" s="739"/>
      <c r="AC91" s="739"/>
      <c r="AD91" s="739"/>
      <c r="AE91" s="739"/>
      <c r="AF91" s="912">
        <v>0</v>
      </c>
    </row>
    <row s="1368" customFormat="1" customHeight="1" ht="18.75" hidden="1">
      <c r="A92" s="2394"/>
      <c r="C92" s="737"/>
      <c r="D92" s="735"/>
      <c r="E92" s="548" t="str">
        <f>FHD_NUM_P_54</f>
        <v/>
      </c>
      <c r="F92" s="1879" t="str">
        <f>FHD_P_54</f>
        <v/>
      </c>
      <c r="G92" s="1880" t="s">
        <v>575</v>
      </c>
      <c r="H92" s="979"/>
      <c r="I92" s="579"/>
      <c r="J92" s="291" t="str">
        <f>FHD_NOTE_P_54</f>
        <v/>
      </c>
      <c r="K92" s="736"/>
      <c r="L92" s="737"/>
      <c r="M92" s="737"/>
      <c r="R92" s="737"/>
      <c r="U92" s="738"/>
      <c r="AA92" s="739"/>
      <c r="AB92" s="739"/>
      <c r="AC92" s="739"/>
      <c r="AD92" s="739"/>
      <c r="AE92" s="739"/>
      <c r="AF92" s="912">
        <v>0</v>
      </c>
    </row>
    <row s="1368" customFormat="1" customHeight="1" ht="18.75" hidden="1">
      <c r="A93" s="2394"/>
      <c r="C93" s="737"/>
      <c r="D93" s="740"/>
      <c r="E93" s="548" t="str">
        <f>FHD_NUM_P_55</f>
        <v/>
      </c>
      <c r="F93" s="1879" t="str">
        <f>FHD_P_55</f>
        <v/>
      </c>
      <c r="G93" s="1883"/>
      <c r="H93" s="979"/>
      <c r="I93" s="579"/>
      <c r="J93" s="291" t="str">
        <f>FHD_NOTE_P_55</f>
        <v/>
      </c>
      <c r="K93" s="736"/>
      <c r="L93" s="737"/>
      <c r="M93" s="737"/>
      <c r="R93" s="737"/>
      <c r="U93" s="738"/>
      <c r="AA93" s="739"/>
      <c r="AB93" s="739"/>
      <c r="AC93" s="739"/>
      <c r="AD93" s="739"/>
      <c r="AE93" s="739"/>
      <c r="AF93" s="912">
        <v>0</v>
      </c>
    </row>
    <row s="1368" customFormat="1" customHeight="1" ht="18.75" hidden="1">
      <c r="A94" s="2394"/>
      <c r="C94" s="737"/>
      <c r="D94" s="735"/>
      <c r="E94" s="548" t="str">
        <f>FHD_NUM_P_56</f>
        <v/>
      </c>
      <c r="F94" s="1879" t="str">
        <f>FHD_P_56</f>
        <v/>
      </c>
      <c r="G94" s="1880" t="s">
        <v>577</v>
      </c>
      <c r="H94" s="979"/>
      <c r="I94" s="579"/>
      <c r="J94" s="291" t="str">
        <f>FHD_NOTE_P_56</f>
        <v/>
      </c>
      <c r="K94" s="736"/>
      <c r="L94" s="737"/>
      <c r="M94" s="737"/>
      <c r="R94" s="737"/>
      <c r="U94" s="738"/>
      <c r="AA94" s="739"/>
      <c r="AB94" s="739"/>
      <c r="AC94" s="739"/>
      <c r="AD94" s="739"/>
      <c r="AE94" s="739"/>
      <c r="AF94" s="912">
        <v>0</v>
      </c>
    </row>
    <row s="1637" customFormat="1" customHeight="1" ht="18.75" hidden="1">
      <c r="A95" s="2394"/>
      <c r="B95" s="912"/>
      <c r="C95" s="737"/>
      <c r="D95" s="735"/>
      <c r="E95" s="548" t="str">
        <f>FHD_NUM_P_57</f>
        <v/>
      </c>
      <c r="F95" s="1879" t="str">
        <f>FHD_P_57</f>
        <v/>
      </c>
      <c r="G95" s="1880" t="s">
        <v>551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92" t="s">
        <v>578</v>
      </c>
      <c r="D96" s="1640"/>
      <c r="E96" s="548" t="str">
        <f>FHD_NUM_P_58</f>
        <v/>
      </c>
      <c r="F96" s="1879" t="str">
        <f>FHD_P_58</f>
        <v/>
      </c>
      <c r="G96" s="1880" t="s">
        <v>575</v>
      </c>
      <c r="H96" s="979"/>
      <c r="I96" s="579"/>
      <c r="J96" s="291" t="str">
        <f>FHD_NOTE_P_58</f>
        <v/>
      </c>
      <c r="K96" s="545"/>
      <c r="AF96" s="1633">
        <v>0</v>
      </c>
    </row>
    <row customHeight="1" ht="18.75" hidden="1">
      <c r="A97" s="2392"/>
      <c r="D97" s="1640"/>
      <c r="E97" s="548" t="str">
        <f>FHD_NUM_P_59</f>
        <v/>
      </c>
      <c r="F97" s="1879" t="str">
        <f>FHD_P_59</f>
        <v/>
      </c>
      <c r="G97" s="1880" t="s">
        <v>575</v>
      </c>
      <c r="H97" s="979"/>
      <c r="I97" s="579"/>
      <c r="J97" s="291" t="str">
        <f>FHD_NOTE_P_59</f>
        <v/>
      </c>
      <c r="K97" s="545"/>
      <c r="AF97" s="1633">
        <v>0</v>
      </c>
    </row>
    <row customHeight="1" ht="18.75" hidden="1">
      <c r="A98" s="2392"/>
      <c r="D98" s="1640"/>
      <c r="E98" s="548" t="str">
        <f>FHD_NUM_P_60</f>
        <v/>
      </c>
      <c r="F98" s="1879" t="str">
        <f>FHD_P_60</f>
        <v/>
      </c>
      <c r="G98" s="1880" t="s">
        <v>575</v>
      </c>
      <c r="H98" s="979"/>
      <c r="I98" s="579"/>
      <c r="J98" s="291" t="str">
        <f>FHD_NOTE_P_60</f>
        <v/>
      </c>
      <c r="K98" s="545"/>
      <c r="AF98" s="1633">
        <v>0</v>
      </c>
    </row>
    <row s="1368" customFormat="1" customHeight="1" ht="18.75" hidden="1">
      <c r="A99" s="2392" t="s">
        <v>579</v>
      </c>
      <c r="C99" s="1638"/>
      <c r="D99" s="1640"/>
      <c r="E99" s="548" t="str">
        <f>FHD_NUM_P_61</f>
        <v/>
      </c>
      <c r="F99" s="1879" t="str">
        <f>FHD_P_61</f>
        <v/>
      </c>
      <c r="G99" s="1877" t="s">
        <v>549</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92"/>
      <c r="D100" s="550"/>
      <c r="E100" s="1015" t="str">
        <f>E99&amp;".0"</f>
        <v>.0</v>
      </c>
      <c r="F100" s="996"/>
      <c r="G100" s="997"/>
      <c r="H100" s="994"/>
      <c r="I100" s="994"/>
      <c r="J100" s="998"/>
      <c r="AF100" s="1638">
        <v>0</v>
      </c>
    </row>
    <row customHeight="1" ht="15" hidden="1">
      <c r="A101" s="2392"/>
      <c r="D101" s="1635"/>
      <c r="E101" s="973"/>
      <c r="F101" s="974" t="s">
        <v>580</v>
      </c>
      <c r="G101" s="574"/>
      <c r="H101" s="575"/>
      <c r="I101" s="575"/>
      <c r="J101" s="1006" t="s">
        <v>581</v>
      </c>
      <c r="K101" s="545"/>
      <c r="AF101" s="1633">
        <v>0</v>
      </c>
    </row>
    <row s="1368" customFormat="1" customHeight="1" ht="18.75" hidden="1">
      <c r="A102" s="2392"/>
      <c r="C102" s="1638"/>
      <c r="D102" s="1640"/>
      <c r="E102" s="548" t="str">
        <f>FHD_NUM_P_62</f>
        <v/>
      </c>
      <c r="F102" s="1879" t="str">
        <f>FHD_P_62</f>
        <v/>
      </c>
      <c r="G102" s="1876" t="s">
        <v>549</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92"/>
      <c r="C103" s="1638"/>
      <c r="D103" s="1640"/>
      <c r="E103" s="548" t="str">
        <f>FHD_NUM_P_63</f>
        <v/>
      </c>
      <c r="F103" s="1879" t="str">
        <f>FHD_P_63</f>
        <v/>
      </c>
      <c r="G103" s="1876" t="s">
        <v>577</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92"/>
      <c r="C104" s="1638"/>
      <c r="D104" s="1640"/>
      <c r="E104" s="548" t="str">
        <f>FHD_NUM_P_64</f>
        <v/>
      </c>
      <c r="F104" s="1879" t="str">
        <f>FHD_P_64</f>
        <v/>
      </c>
      <c r="G104" s="1876" t="s">
        <v>577</v>
      </c>
      <c r="H104" s="1409"/>
      <c r="I104" s="753"/>
      <c r="J104" s="291" t="str">
        <f>FHD_NOTE_P_64</f>
        <v/>
      </c>
      <c r="K104" s="545"/>
      <c r="L104" s="1638"/>
      <c r="M104" s="1638"/>
      <c r="R104" s="1638"/>
      <c r="U104" s="546"/>
      <c r="AA104" s="1634"/>
      <c r="AB104" s="1634"/>
      <c r="AC104" s="1634"/>
      <c r="AD104" s="1634"/>
      <c r="AE104" s="1634"/>
      <c r="AF104" s="1162">
        <v>0</v>
      </c>
    </row>
    <row s="1368" customFormat="1" customHeight="1" ht="18.75" hidden="1">
      <c r="A105" s="2392"/>
      <c r="C105" s="1638"/>
      <c r="D105" s="1640"/>
      <c r="E105" s="548" t="str">
        <f>FHD_NUM_P_65</f>
        <v/>
      </c>
      <c r="F105" s="1879" t="str">
        <f>FHD_P_65</f>
        <v/>
      </c>
      <c r="G105" s="1876" t="s">
        <v>577</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92"/>
      <c r="C106" s="1638"/>
      <c r="D106" s="1640"/>
      <c r="E106" s="548" t="str">
        <f>FHD_NUM_P_66</f>
        <v/>
      </c>
      <c r="F106" s="1526" t="str">
        <f>FHD_P_66</f>
        <v/>
      </c>
      <c r="G106" s="1876" t="s">
        <v>577</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92"/>
      <c r="C107" s="1638"/>
      <c r="D107" s="1640"/>
      <c r="E107" s="548" t="str">
        <f>FHD_NUM_P_67</f>
        <v/>
      </c>
      <c r="F107" s="1652" t="str">
        <f>FHD_P_67</f>
        <v/>
      </c>
      <c r="G107" s="1876" t="s">
        <v>577</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92"/>
      <c r="C108" s="1638"/>
      <c r="D108" s="1640"/>
      <c r="E108" s="548" t="str">
        <f>FHD_NUM_P_68</f>
        <v/>
      </c>
      <c r="F108" s="1526" t="str">
        <f>FHD_P_68</f>
        <v/>
      </c>
      <c r="G108" s="1876" t="s">
        <v>577</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92"/>
      <c r="C109" s="1638"/>
      <c r="D109" s="1640"/>
      <c r="E109" s="548" t="str">
        <f>FHD_NUM_P_69</f>
        <v/>
      </c>
      <c r="F109" s="1526" t="str">
        <f>FHD_P_69</f>
        <v/>
      </c>
      <c r="G109" s="1876" t="s">
        <v>577</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92"/>
      <c r="C110" s="1638"/>
      <c r="D110" s="1640"/>
      <c r="E110" s="548" t="str">
        <f>FHD_NUM_P_70</f>
        <v/>
      </c>
      <c r="F110" s="1879" t="str">
        <f>FHD_P_70</f>
        <v/>
      </c>
      <c r="G110" s="1876" t="s">
        <v>582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92"/>
      <c r="C111" s="1638"/>
      <c r="D111" s="1640"/>
      <c r="E111" s="548" t="str">
        <f>FHD_NUM_P_71</f>
        <v/>
      </c>
      <c r="F111" s="1879" t="str">
        <f>FHD_P_71</f>
        <v/>
      </c>
      <c r="G111" s="1876" t="s">
        <v>582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79" t="str">
        <f>FHD_P_72</f>
        <v>Среднесписочная численность основного производственного персонала</v>
      </c>
      <c r="G112" s="1875" t="s">
        <v>583</v>
      </c>
      <c r="H112" s="579"/>
      <c r="I112" s="579"/>
      <c r="J112" s="291" t="str">
        <f>FHD_NOTE_P_72</f>
        <v/>
      </c>
      <c r="K112" s="545"/>
      <c r="AF112" s="1633">
        <v>19</v>
      </c>
    </row>
    <row customHeight="1" ht="18.75" hidden="1">
      <c r="A113" s="991" t="s">
        <v>584</v>
      </c>
      <c r="D113" s="1640"/>
      <c r="E113" s="548" t="str">
        <f>FHD_NUM_P_73</f>
        <v/>
      </c>
      <c r="F113" s="1879" t="str">
        <f>FHD_P_73</f>
        <v/>
      </c>
      <c r="G113" s="972" t="s">
        <v>583</v>
      </c>
      <c r="H113" s="970"/>
      <c r="I113" s="970"/>
      <c r="J113" s="291" t="str">
        <f>FHD_NOTE_P_73</f>
        <v/>
      </c>
      <c r="K113" s="545"/>
      <c r="AF113" s="1633">
        <v>0</v>
      </c>
    </row>
    <row customHeight="1" ht="33.75">
      <c r="A114" s="991" t="s">
        <v>585</v>
      </c>
      <c r="D114" s="1640"/>
      <c r="E114" s="548" t="str">
        <f>FHD_NUM_P_74</f>
        <v>13</v>
      </c>
      <c r="F114" s="1879" t="str">
        <f>FHD_P_74</f>
        <v>Удельный расход электрической энергии на подачу воды в сеть</v>
      </c>
      <c r="G114" s="1875" t="s">
        <v>586</v>
      </c>
      <c r="H114" s="579"/>
      <c r="I114" s="579"/>
      <c r="J114" s="291" t="str">
        <f>FHD_NOTE_P_74</f>
        <v/>
      </c>
      <c r="K114" s="545"/>
      <c r="AF114" s="1633">
        <v>0</v>
      </c>
    </row>
    <row s="1637" customFormat="1" customHeight="1" ht="18.75">
      <c r="A115" s="2394" t="s">
        <v>587</v>
      </c>
      <c r="B115" s="912"/>
      <c r="C115" s="737"/>
      <c r="D115" s="735"/>
      <c r="E115" s="548" t="str">
        <f>FHD_NUM_P_75</f>
        <v>14</v>
      </c>
      <c r="F115" s="1879" t="str">
        <f>FHD_P_75</f>
        <v>Расход воды на собственные нужды, в том числе:</v>
      </c>
      <c r="G115" s="1875" t="s">
        <v>551</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94"/>
      <c r="B116" s="912"/>
      <c r="C116" s="737"/>
      <c r="D116" s="735"/>
      <c r="E116" s="548" t="str">
        <f>FHD_NUM_P_76</f>
        <v>14.1</v>
      </c>
      <c r="F116" s="1879" t="str">
        <f>FHD_P_76</f>
        <v>Расход воды на хозяйственно-бытовые нужды</v>
      </c>
      <c r="G116" s="1875" t="s">
        <v>551</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94"/>
      <c r="B117" s="912"/>
      <c r="C117" s="737"/>
      <c r="D117" s="735"/>
      <c r="E117" s="548" t="str">
        <f>FHD_NUM_P_77</f>
        <v>15</v>
      </c>
      <c r="F117" s="1879" t="str">
        <f>FHD_P_77</f>
        <v>Показатель использования производственных объектов (по объему перекачки), в том числе:</v>
      </c>
      <c r="G117" s="1875" t="s">
        <v>551</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94"/>
      <c r="D118" s="550"/>
      <c r="E118" s="1015" t="str">
        <f>E117&amp;".0"</f>
        <v>15.0</v>
      </c>
      <c r="F118" s="999"/>
      <c r="G118" s="1653"/>
      <c r="H118" s="994"/>
      <c r="I118" s="994"/>
      <c r="J118" s="998"/>
      <c r="AF118" s="1638">
        <v>0</v>
      </c>
    </row>
    <row s="1637" customFormat="1" customHeight="1" ht="15">
      <c r="A119" s="2394"/>
      <c r="B119" s="912"/>
      <c r="C119" s="737"/>
      <c r="D119" s="748"/>
      <c r="E119" s="975"/>
      <c r="F119" s="976" t="s">
        <v>588</v>
      </c>
      <c r="G119" s="749"/>
      <c r="H119" s="750"/>
      <c r="I119" s="750"/>
      <c r="J119" s="1005" t="s">
        <v>589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92" t="s">
        <v>590</v>
      </c>
      <c r="D120" s="1640"/>
      <c r="E120" s="548" t="str">
        <f>FHD_NUM_P_78</f>
        <v/>
      </c>
      <c r="F120" s="1879" t="str">
        <f>FHD_P_78</f>
        <v/>
      </c>
      <c r="G120" s="1876" t="s">
        <v>553</v>
      </c>
      <c r="H120" s="579"/>
      <c r="I120" s="579"/>
      <c r="J120" s="291" t="str">
        <f>FHD_NOTE_P_78</f>
        <v/>
      </c>
      <c r="K120" s="545"/>
      <c r="AF120" s="1633">
        <v>0</v>
      </c>
    </row>
    <row s="1644" customFormat="1" customHeight="1" ht="0.75" hidden="1">
      <c r="A121" s="2392"/>
      <c r="D121" s="550"/>
      <c r="E121" s="1015" t="str">
        <f>E120&amp;".0"</f>
        <v>.0</v>
      </c>
      <c r="F121" s="999"/>
      <c r="G121" s="1653"/>
      <c r="H121" s="994"/>
      <c r="I121" s="994"/>
      <c r="J121" s="998"/>
      <c r="AF121" s="1638">
        <v>0</v>
      </c>
    </row>
    <row customHeight="1" ht="15" hidden="1">
      <c r="A122" s="2392"/>
      <c r="D122" s="1635"/>
      <c r="E122" s="572"/>
      <c r="F122" s="1170" t="s">
        <v>580</v>
      </c>
      <c r="G122" s="574"/>
      <c r="H122" s="575"/>
      <c r="I122" s="575"/>
      <c r="J122" s="1006" t="s">
        <v>591</v>
      </c>
      <c r="K122" s="545"/>
      <c r="AF122" s="1633">
        <v>0</v>
      </c>
    </row>
    <row customHeight="1" ht="22.5" hidden="1">
      <c r="A123" s="2392"/>
      <c r="D123" s="1640"/>
      <c r="E123" s="548" t="str">
        <f>FHD_NUM_P_79</f>
        <v/>
      </c>
      <c r="F123" s="1879" t="str">
        <f>FHD_P_79</f>
        <v/>
      </c>
      <c r="G123" s="1877" t="s">
        <v>555</v>
      </c>
      <c r="H123" s="579"/>
      <c r="I123" s="579"/>
      <c r="J123" s="291" t="str">
        <f>FHD_NOTE_P_79</f>
        <v/>
      </c>
      <c r="K123" s="545"/>
      <c r="AF123" s="1633">
        <v>0</v>
      </c>
    </row>
    <row s="1644" customFormat="1" customHeight="1" ht="0.75" hidden="1">
      <c r="A124" s="2392"/>
      <c r="D124" s="550"/>
      <c r="E124" s="1015" t="str">
        <f>E123&amp;".0"</f>
        <v>.0</v>
      </c>
      <c r="F124" s="1000"/>
      <c r="G124" s="1653"/>
      <c r="H124" s="994"/>
      <c r="I124" s="994"/>
      <c r="J124" s="998"/>
      <c r="AF124" s="1638">
        <v>0</v>
      </c>
    </row>
    <row customHeight="1" ht="15" hidden="1">
      <c r="A125" s="2392"/>
      <c r="D125" s="1635"/>
      <c r="E125" s="572"/>
      <c r="F125" s="1170" t="s">
        <v>580</v>
      </c>
      <c r="G125" s="574"/>
      <c r="H125" s="575"/>
      <c r="I125" s="575"/>
      <c r="J125" s="1006" t="s">
        <v>592</v>
      </c>
      <c r="K125" s="545"/>
      <c r="AF125" s="1633">
        <v>0</v>
      </c>
    </row>
    <row customHeight="1" ht="22.5" hidden="1">
      <c r="A126" s="2392"/>
      <c r="D126" s="1640"/>
      <c r="E126" s="548" t="str">
        <f>FHD_NUM_P_80</f>
        <v/>
      </c>
      <c r="F126" s="1879" t="str">
        <f>FHD_P_80</f>
        <v/>
      </c>
      <c r="G126" s="1877" t="s">
        <v>593</v>
      </c>
      <c r="H126" s="559"/>
      <c r="I126" s="559"/>
      <c r="J126" s="291" t="str">
        <f>FHD_NOTE_P_80</f>
        <v/>
      </c>
      <c r="K126" s="545"/>
      <c r="AF126" s="1633">
        <v>0</v>
      </c>
    </row>
    <row customHeight="1" ht="18.75" hidden="1">
      <c r="A127" s="2392"/>
      <c r="D127" s="1640"/>
      <c r="E127" s="548" t="str">
        <f>FHD_NUM_P_81</f>
        <v/>
      </c>
      <c r="F127" s="1879" t="str">
        <f>FHD_P_81</f>
        <v/>
      </c>
      <c r="G127" s="1877" t="s">
        <v>594</v>
      </c>
      <c r="H127" s="559"/>
      <c r="I127" s="559"/>
      <c r="J127" s="291" t="str">
        <f>FHD_NOTE_P_81</f>
        <v/>
      </c>
      <c r="K127" s="545"/>
      <c r="AF127" s="1633">
        <v>0</v>
      </c>
    </row>
    <row customHeight="1" ht="18.75" hidden="1">
      <c r="A128" s="2392"/>
      <c r="C128" s="1638" t="s">
        <v>573</v>
      </c>
      <c r="D128" s="1640"/>
      <c r="E128" s="548" t="str">
        <f>FHD_NUM_P_82</f>
        <v/>
      </c>
      <c r="F128" s="1879" t="str">
        <f>FHD_P_82</f>
        <v/>
      </c>
      <c r="G128" s="1877" t="s">
        <v>301</v>
      </c>
      <c r="H128" s="403"/>
      <c r="I128" s="403"/>
      <c r="J128" s="291" t="str">
        <f>FHD_NOTE_P_82</f>
        <v/>
      </c>
      <c r="K128" s="545"/>
      <c r="AF128" s="1633">
        <v>0</v>
      </c>
    </row>
    <row customHeight="1" ht="18.75" hidden="1">
      <c r="A129" s="2392"/>
      <c r="C129" s="1638" t="s">
        <v>573</v>
      </c>
      <c r="D129" s="1640"/>
      <c r="E129" s="548" t="str">
        <f>FHD_NUM_P_83</f>
        <v/>
      </c>
      <c r="F129" s="1526" t="str">
        <f>FHD_P_83</f>
        <v/>
      </c>
      <c r="G129" s="1877" t="s">
        <v>301</v>
      </c>
      <c r="H129" s="403"/>
      <c r="I129" s="403"/>
      <c r="J129" s="291" t="str">
        <f>FHD_NOTE_P_83</f>
        <v/>
      </c>
      <c r="K129" s="545"/>
      <c r="AF129" s="1633">
        <v>0</v>
      </c>
    </row>
    <row customHeight="1" ht="18.75" hidden="1">
      <c r="A130" s="2392"/>
      <c r="C130" s="1638" t="s">
        <v>573</v>
      </c>
      <c r="D130" s="1640"/>
      <c r="E130" s="548" t="str">
        <f>FHD_NUM_P_84</f>
        <v/>
      </c>
      <c r="F130" s="1526" t="str">
        <f>FHD_P_84</f>
        <v/>
      </c>
      <c r="G130" s="1877" t="s">
        <v>301</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4:I6 H74:I74 H88:I89 H96:I103 H105:I11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H104:I104">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9E0DF8-17C8-A528-E0B4-AFA35257F72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5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5"/>
      <c r="G5" s="2255"/>
      <c r="H5" s="2255"/>
      <c r="I5" s="2255"/>
      <c r="J5" s="2255"/>
      <c r="K5" s="2255"/>
      <c r="L5" s="615"/>
      <c r="M5" s="615"/>
      <c r="CF5" s="507">
        <v>28</v>
      </c>
    </row>
    <row s="1637" customFormat="1" customHeight="1" ht="16.8">
      <c r="A6" s="612"/>
      <c r="B6" s="761"/>
      <c r="C6" s="511"/>
      <c r="D6" s="1060"/>
      <c r="E6" s="2224" t="str">
        <f>IF(org=0,"Не определено",org)</f>
        <v>Муниципальное унитарное предприятие "Невельские коммунальные сети"</v>
      </c>
      <c r="F6" s="2224"/>
      <c r="G6" s="2224"/>
      <c r="H6" s="2224"/>
      <c r="I6" s="2224"/>
      <c r="J6" s="2224"/>
      <c r="K6" s="2224"/>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24" t="s">
        <v>295</v>
      </c>
      <c r="F9" s="2125"/>
      <c r="G9" s="2125"/>
      <c r="H9" s="2125"/>
      <c r="I9" s="2125"/>
      <c r="J9" s="2125"/>
      <c r="K9" s="2125"/>
      <c r="L9" s="2125"/>
      <c r="M9" s="2125"/>
      <c r="N9" s="2125"/>
      <c r="O9" s="2125"/>
      <c r="P9" s="2125"/>
      <c r="Q9" s="2125"/>
      <c r="R9" s="2126"/>
      <c r="S9" s="2140" t="s">
        <v>296</v>
      </c>
      <c r="T9" s="336"/>
      <c r="CF9" s="507">
        <v>19</v>
      </c>
    </row>
    <row customHeight="1" ht="48.29999999999999">
      <c r="D10" s="553" t="s">
        <v>88</v>
      </c>
      <c r="E10" s="2140" t="s">
        <v>88</v>
      </c>
      <c r="F10" s="2140"/>
      <c r="G10" s="523" t="s">
        <v>297</v>
      </c>
      <c r="H10" s="2140" t="s">
        <v>88</v>
      </c>
      <c r="I10" s="2140"/>
      <c r="J10" s="523" t="s">
        <v>595</v>
      </c>
      <c r="K10" s="523" t="s">
        <v>596</v>
      </c>
      <c r="L10" s="2140" t="s">
        <v>88</v>
      </c>
      <c r="M10" s="2140"/>
      <c r="N10" s="523" t="s">
        <v>597</v>
      </c>
      <c r="O10" s="523" t="s">
        <v>598</v>
      </c>
      <c r="P10" s="523" t="s">
        <v>599</v>
      </c>
      <c r="Q10" s="523" t="s">
        <v>600</v>
      </c>
      <c r="R10" s="523" t="s">
        <v>601</v>
      </c>
      <c r="S10" s="2140"/>
      <c r="T10" s="336"/>
      <c r="CF10" s="507">
        <v>46</v>
      </c>
    </row>
    <row s="1644" customFormat="1" customHeight="1" ht="15">
      <c r="A11" s="1054"/>
      <c r="D11" s="1027" t="s">
        <v>106</v>
      </c>
      <c r="E11" s="1027"/>
      <c r="F11" s="1027" t="s">
        <v>107</v>
      </c>
      <c r="G11" s="1027" t="s">
        <v>90</v>
      </c>
      <c r="H11" s="1027"/>
      <c r="I11" s="1027" t="s">
        <v>91</v>
      </c>
      <c r="J11" s="1027" t="s">
        <v>108</v>
      </c>
      <c r="K11" s="1027" t="s">
        <v>92</v>
      </c>
      <c r="L11" s="1027"/>
      <c r="M11" s="1027" t="s">
        <v>93</v>
      </c>
      <c r="N11" s="1027" t="s">
        <v>109</v>
      </c>
      <c r="O11" s="1027" t="s">
        <v>145</v>
      </c>
      <c r="P11" s="1027" t="s">
        <v>146</v>
      </c>
      <c r="Q11" s="1027" t="s">
        <v>147</v>
      </c>
      <c r="R11" s="1027" t="s">
        <v>148</v>
      </c>
      <c r="S11" s="1027" t="s">
        <v>149</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371</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49" customFormat="1" customHeight="1" ht="15">
      <c r="A14" s="625" t="s">
        <v>114</v>
      </c>
      <c r="B14" s="626"/>
      <c r="C14" s="626"/>
      <c r="D14" s="2399" t="s">
        <v>106</v>
      </c>
      <c r="E14" s="2407" t="s">
        <v>102</v>
      </c>
      <c r="F14" s="2408"/>
      <c r="G14" s="2409"/>
      <c r="H14" s="2402">
        <f>IF(A14="","",INDEX(DIFFERENTIATION_UNMERGE_VD,MATCH(A14,DIFFERENTIATION_ID_DIFF,0)))</f>
        <v>0</v>
      </c>
      <c r="I14" s="2402"/>
      <c r="J14" s="2402"/>
      <c r="K14" s="2402"/>
      <c r="L14" s="2402"/>
      <c r="M14" s="2402"/>
      <c r="N14" s="2402"/>
      <c r="O14" s="2402"/>
      <c r="P14" s="2402"/>
      <c r="Q14" s="2402"/>
      <c r="R14" s="2402"/>
      <c r="S14" s="721"/>
      <c r="T14" s="718"/>
      <c r="U14" s="627"/>
      <c r="V14" s="627"/>
      <c r="W14" s="628"/>
      <c r="X14" s="628"/>
      <c r="Y14" s="628"/>
      <c r="Z14" s="628"/>
      <c r="AA14" s="629"/>
      <c r="AB14" s="630"/>
      <c r="AC14" s="2406"/>
      <c r="AD14" s="631"/>
      <c r="AE14" s="632" t="s">
        <v>22</v>
      </c>
      <c r="AF14" s="632"/>
      <c r="AG14" s="633" t="s">
        <v>602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49" customFormat="1" customHeight="1" ht="15">
      <c r="A15" s="625"/>
      <c r="B15" s="626"/>
      <c r="C15" s="626"/>
      <c r="D15" s="2400"/>
      <c r="E15" s="2407" t="s">
        <v>557</v>
      </c>
      <c r="F15" s="2408"/>
      <c r="G15" s="2409"/>
      <c r="H15" s="2402" t="str">
        <f>IF(A14="","",INDEX(DIFFERENTIATION_UNMERGE_AREA,MATCH(A14,DIFFERENTIATION_ID_DIFF,0)))</f>
        <v/>
      </c>
      <c r="I15" s="2402"/>
      <c r="J15" s="2402"/>
      <c r="K15" s="2402"/>
      <c r="L15" s="2402"/>
      <c r="M15" s="2402"/>
      <c r="N15" s="2402"/>
      <c r="O15" s="2402"/>
      <c r="P15" s="2402"/>
      <c r="Q15" s="2402"/>
      <c r="R15" s="2402"/>
      <c r="S15" s="721"/>
      <c r="T15" s="718"/>
      <c r="U15" s="627"/>
      <c r="V15" s="627"/>
      <c r="W15" s="628"/>
      <c r="X15" s="628"/>
      <c r="Y15" s="628"/>
      <c r="Z15" s="628"/>
      <c r="AA15" s="629"/>
      <c r="AB15" s="630"/>
      <c r="AC15" s="2406"/>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49" customFormat="1" customHeight="1" ht="15">
      <c r="A16" s="625"/>
      <c r="B16" s="626"/>
      <c r="C16" s="626"/>
      <c r="D16" s="2400"/>
      <c r="E16" s="2407" t="s">
        <v>558</v>
      </c>
      <c r="F16" s="2408"/>
      <c r="G16" s="2409"/>
      <c r="H16" s="2402" t="str">
        <f>IF(A14="","",INDEX(DIFFERENTIATION_UNMERGE_SYSTEM,MATCH(A14,DIFFERENTIATION_ID_DIFF,0)))</f>
        <v>без дифференциации</v>
      </c>
      <c r="I16" s="2402"/>
      <c r="J16" s="2402"/>
      <c r="K16" s="2402"/>
      <c r="L16" s="2402"/>
      <c r="M16" s="2402"/>
      <c r="N16" s="2402"/>
      <c r="O16" s="2402"/>
      <c r="P16" s="2402"/>
      <c r="Q16" s="2402"/>
      <c r="R16" s="2402"/>
      <c r="S16" s="721"/>
      <c r="T16" s="718"/>
      <c r="U16" s="627"/>
      <c r="V16" s="627"/>
      <c r="W16" s="628"/>
      <c r="X16" s="628"/>
      <c r="Y16" s="628"/>
      <c r="Z16" s="628"/>
      <c r="AA16" s="629"/>
      <c r="AB16" s="630"/>
      <c r="AC16" s="2406"/>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49" customFormat="1" customHeight="1" ht="22.5">
      <c r="A17" s="635"/>
      <c r="B17" s="419"/>
      <c r="C17" s="414"/>
      <c r="D17" s="2400"/>
      <c r="E17" s="2404" t="s">
        <v>603</v>
      </c>
      <c r="F17" s="2404"/>
      <c r="G17" s="2404"/>
      <c r="H17" s="2404"/>
      <c r="I17" s="2404"/>
      <c r="J17" s="2404"/>
      <c r="K17" s="2404"/>
      <c r="L17" s="2404"/>
      <c r="M17" s="2404"/>
      <c r="N17" s="2404"/>
      <c r="O17" s="2404"/>
      <c r="P17" s="2404"/>
      <c r="Q17" s="560">
        <f>SUMIF(T18:T19,"i",Q18:Q19)</f>
        <v>0</v>
      </c>
      <c r="R17" s="1019"/>
      <c r="S17" s="899" t="s">
        <v>604</v>
      </c>
      <c r="T17" s="719" t="s">
        <v>605</v>
      </c>
      <c r="U17" s="2405">
        <v>1</v>
      </c>
      <c r="V17" s="2405" t="str">
        <f>INDEX(B_FHD_FLAG_INDEX_1,1,MATCH(A14,B_FHD_FLAG_DIFFERENTIATION,0))</f>
        <v>отсутствует</v>
      </c>
      <c r="W17" s="419"/>
      <c r="X17" s="419"/>
      <c r="Y17" s="419"/>
      <c r="Z17" s="419"/>
      <c r="AA17" s="513"/>
      <c r="AB17" s="419"/>
      <c r="AC17" s="2406"/>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49" customFormat="1" customHeight="1" ht="11.25" hidden="1">
      <c r="A18" s="636"/>
      <c r="B18" s="513"/>
      <c r="C18" s="513"/>
      <c r="D18" s="2400"/>
      <c r="E18" s="637"/>
      <c r="F18" s="637">
        <v>0</v>
      </c>
      <c r="G18" s="637"/>
      <c r="H18" s="637"/>
      <c r="I18" s="637"/>
      <c r="J18" s="637"/>
      <c r="K18" s="637"/>
      <c r="L18" s="637"/>
      <c r="M18" s="637"/>
      <c r="N18" s="637"/>
      <c r="O18" s="637"/>
      <c r="P18" s="637"/>
      <c r="Q18" s="637"/>
      <c r="R18" s="637"/>
      <c r="S18" s="638"/>
      <c r="T18" s="720"/>
      <c r="U18" s="2405"/>
      <c r="V18" s="2405"/>
      <c r="W18" s="513"/>
      <c r="X18" s="513"/>
      <c r="Y18" s="513"/>
      <c r="Z18" s="513"/>
      <c r="AA18" s="513"/>
      <c r="AB18" s="419"/>
      <c r="AC18" s="2406"/>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49" customFormat="1" customHeight="1" ht="11.25">
      <c r="A19" s="635"/>
      <c r="B19" s="419"/>
      <c r="C19" s="414"/>
      <c r="D19" s="2400"/>
      <c r="E19" s="651" t="s">
        <v>22</v>
      </c>
      <c r="F19" s="652" t="s">
        <v>22</v>
      </c>
      <c r="G19" s="652" t="s">
        <v>22</v>
      </c>
      <c r="H19" s="653" t="s">
        <v>22</v>
      </c>
      <c r="I19" s="653"/>
      <c r="J19" s="653"/>
      <c r="K19" s="653"/>
      <c r="L19" s="653"/>
      <c r="M19" s="653"/>
      <c r="N19" s="653"/>
      <c r="O19" s="653"/>
      <c r="P19" s="653"/>
      <c r="Q19" s="653"/>
      <c r="R19" s="654"/>
      <c r="S19" s="1022"/>
      <c r="T19" s="720"/>
      <c r="U19" s="2405"/>
      <c r="V19" s="2405"/>
      <c r="W19" s="419"/>
      <c r="X19" s="419"/>
      <c r="Y19" s="419"/>
      <c r="Z19" s="419"/>
      <c r="AA19" s="513"/>
      <c r="AB19" s="419"/>
      <c r="AC19" s="2406"/>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49" customFormat="1" customHeight="1" ht="22.5">
      <c r="A20" s="635"/>
      <c r="B20" s="419"/>
      <c r="C20" s="414"/>
      <c r="D20" s="2400"/>
      <c r="E20" s="2404" t="s">
        <v>606</v>
      </c>
      <c r="F20" s="2404"/>
      <c r="G20" s="2404"/>
      <c r="H20" s="2404"/>
      <c r="I20" s="2404"/>
      <c r="J20" s="2404"/>
      <c r="K20" s="2404"/>
      <c r="L20" s="2404"/>
      <c r="M20" s="2404"/>
      <c r="N20" s="2404"/>
      <c r="O20" s="2404"/>
      <c r="P20" s="2404"/>
      <c r="Q20" s="560">
        <f>SUMIF(T21:T22,"i",Q21:Q22)</f>
        <v>0</v>
      </c>
      <c r="R20" s="1019"/>
      <c r="S20" s="711" t="s">
        <v>607</v>
      </c>
      <c r="T20" s="719" t="s">
        <v>605</v>
      </c>
      <c r="U20" s="2405">
        <v>2</v>
      </c>
      <c r="V20" s="2405"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49" customFormat="1" customHeight="1" ht="11.25" hidden="1">
      <c r="A21" s="710"/>
      <c r="B21" s="513"/>
      <c r="C21" s="513"/>
      <c r="D21" s="2400"/>
      <c r="E21" s="637"/>
      <c r="F21" s="637">
        <v>0</v>
      </c>
      <c r="G21" s="637"/>
      <c r="H21" s="637"/>
      <c r="I21" s="637"/>
      <c r="J21" s="637"/>
      <c r="K21" s="637"/>
      <c r="L21" s="637"/>
      <c r="M21" s="637"/>
      <c r="N21" s="637"/>
      <c r="O21" s="637"/>
      <c r="P21" s="637"/>
      <c r="Q21" s="637"/>
      <c r="R21" s="637"/>
      <c r="S21" s="638"/>
      <c r="T21" s="720"/>
      <c r="U21" s="2405"/>
      <c r="V21" s="2405"/>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49" customFormat="1" customHeight="1" ht="11.25">
      <c r="A22" s="635"/>
      <c r="B22" s="419"/>
      <c r="C22" s="414"/>
      <c r="D22" s="2401"/>
      <c r="E22" s="651" t="s">
        <v>22</v>
      </c>
      <c r="F22" s="652" t="s">
        <v>22</v>
      </c>
      <c r="G22" s="652" t="s">
        <v>22</v>
      </c>
      <c r="H22" s="653" t="s">
        <v>22</v>
      </c>
      <c r="I22" s="653"/>
      <c r="J22" s="653"/>
      <c r="K22" s="653"/>
      <c r="L22" s="653"/>
      <c r="M22" s="653"/>
      <c r="N22" s="653"/>
      <c r="O22" s="653"/>
      <c r="P22" s="653"/>
      <c r="Q22" s="653"/>
      <c r="R22" s="654"/>
      <c r="S22" s="1022"/>
      <c r="T22" s="720"/>
      <c r="U22" s="2405"/>
      <c r="V22" s="2405"/>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403"/>
      <c r="F27" s="2403"/>
      <c r="G27" s="2403"/>
      <c r="H27" s="2403"/>
      <c r="I27" s="2403"/>
      <c r="J27" s="2403"/>
      <c r="K27" s="2403"/>
      <c r="L27" s="2403"/>
      <c r="M27" s="2403"/>
      <c r="N27" s="2403"/>
      <c r="O27" s="2403"/>
      <c r="P27" s="2403"/>
      <c r="Q27" s="2403"/>
      <c r="R27" s="2403"/>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A9DAF-9B08-F1FD-FDAA-DCF9E1D4F6B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2" t="s">
        <v>608</v>
      </c>
      <c r="C2" s="2052" t="s">
        <v>609</v>
      </c>
      <c r="D2" s="2051" t="s">
        <v>610</v>
      </c>
      <c r="E2" s="2055">
        <f>RIGHT(I2,LEN(I2)-SEARCH("#",SUBSTITUTE(I2,".","#",LEN(I2)-LEN(SUBSTITUTE(I2,".","")))))</f>
      </c>
      <c r="F2" s="2057">
        <f>J2</f>
        <v>0</v>
      </c>
      <c r="G2" s="1638"/>
      <c r="H2" s="2058"/>
      <c r="I2" s="2048"/>
      <c r="J2" s="542"/>
      <c r="K2" s="2018" t="s">
        <v>549</v>
      </c>
      <c r="L2" s="753"/>
      <c r="M2" s="753"/>
      <c r="N2" s="545"/>
      <c r="O2" s="1527" t="s">
        <v>550</v>
      </c>
      <c r="P2" s="545"/>
      <c r="Q2" s="1638"/>
      <c r="R2" s="1638"/>
      <c r="W2" s="1638"/>
      <c r="Z2" s="546"/>
      <c r="AF2" s="1634"/>
      <c r="AG2" s="1634"/>
      <c r="AH2" s="1634"/>
      <c r="AI2" s="1634"/>
      <c r="AJ2" s="1634"/>
      <c r="AK2" s="1368">
        <v>0</v>
      </c>
    </row>
    <row customHeight="1" ht="11.25" hidden="1">
      <c r="E3" s="2050" t="s">
        <v>611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23" t="s">
        <v>612</v>
      </c>
      <c r="J6" s="2323"/>
      <c r="K6" s="2323"/>
      <c r="L6" s="2323"/>
      <c r="M6" s="2323"/>
      <c r="O6" s="558"/>
      <c r="AK6" s="1633">
        <v>55</v>
      </c>
    </row>
    <row customHeight="1" ht="25.2">
      <c r="I7" s="2311" t="str">
        <f>IF(org=0,"Не определено",org)</f>
        <v>Муниципальное унитарное предприятие "Невельские коммунальные сети"</v>
      </c>
      <c r="J7" s="2311"/>
      <c r="K7" s="2311"/>
      <c r="L7" s="2311"/>
      <c r="M7" s="231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114</v>
      </c>
      <c r="AK9" s="1638">
        <v>1</v>
      </c>
    </row>
    <row customHeight="1" ht="11.549999999999999">
      <c r="E10" s="2049" t="s">
        <v>613</v>
      </c>
      <c r="I10" s="713"/>
      <c r="J10" s="2395" t="s">
        <v>102</v>
      </c>
      <c r="K10" s="2396"/>
      <c r="L10" s="2028" t="str">
        <f>IF(L9="","",INDEX(DIFFERENTIATION_UNMERGE_VD,MATCH(L9,DIFFERENTIATION_ID_DIFF,0)))</f>
        <v/>
      </c>
      <c r="M10" s="2028">
        <f>IF(M9="","",INDEX(DIFFERENTIATION_UNMERGE_VD,MATCH(M9,DIFFERENTIATION_ID_DIFF,0)))</f>
        <v>0</v>
      </c>
      <c r="O10" s="2140" t="s">
        <v>296</v>
      </c>
      <c r="AK10" s="1633">
        <v>11</v>
      </c>
    </row>
    <row customHeight="1" ht="11.549999999999999">
      <c r="E11" s="2049" t="s">
        <v>614</v>
      </c>
      <c r="I11" s="713"/>
      <c r="J11" s="2395" t="s">
        <v>557</v>
      </c>
      <c r="K11" s="2396"/>
      <c r="L11" s="2028" t="str">
        <f>IF(L9="","",INDEX(DIFFERENTIATION_UNMERGE_AREA,MATCH(L9,DIFFERENTIATION_ID_DIFF,0)))</f>
        <v/>
      </c>
      <c r="M11" s="2028" t="str">
        <f>IF(M9="","",INDEX(DIFFERENTIATION_UNMERGE_AREA,MATCH(M9,DIFFERENTIATION_ID_DIFF,0)))</f>
        <v/>
      </c>
      <c r="O11" s="2140"/>
      <c r="AK11" s="1633">
        <v>11</v>
      </c>
    </row>
    <row customHeight="1" ht="11.549999999999999">
      <c r="E12" s="2049" t="s">
        <v>615</v>
      </c>
      <c r="I12" s="1664"/>
      <c r="J12" s="2395" t="s">
        <v>558</v>
      </c>
      <c r="K12" s="2396"/>
      <c r="L12" s="2028" t="str">
        <f>IF(L9="","",INDEX(DIFFERENTIATION_UNMERGE_SYSTEM,MATCH(L9,DIFFERENTIATION_ID_DIFF,0)))</f>
        <v/>
      </c>
      <c r="M12" s="2028" t="str">
        <f>IF(M9="","",INDEX(DIFFERENTIATION_UNMERGE_SYSTEM,MATCH(M9,DIFFERENTIATION_ID_DIFF,0)))</f>
        <v>без дифференциации</v>
      </c>
      <c r="O12" s="2140"/>
      <c r="AK12" s="1633">
        <v>11</v>
      </c>
    </row>
    <row customHeight="1" ht="11.549999999999999">
      <c r="E13" s="2049" t="s">
        <v>616</v>
      </c>
      <c r="F13" s="2049" t="s">
        <v>617</v>
      </c>
      <c r="I13" s="2397" t="s">
        <v>295</v>
      </c>
      <c r="J13" s="2398"/>
      <c r="K13" s="2398"/>
      <c r="L13" s="2026"/>
      <c r="M13" s="2066"/>
      <c r="O13" s="2140"/>
      <c r="AK13" s="1633">
        <v>11</v>
      </c>
    </row>
    <row customHeight="1" ht="24">
      <c r="I14" s="2019" t="s">
        <v>88</v>
      </c>
      <c r="J14" s="2019" t="s">
        <v>297</v>
      </c>
      <c r="K14" s="2019" t="s">
        <v>559</v>
      </c>
      <c r="L14" s="2059" t="s">
        <v>298</v>
      </c>
      <c r="M14" s="2060" t="s">
        <v>298</v>
      </c>
      <c r="O14" s="2140"/>
      <c r="AK14" s="1633">
        <v>23</v>
      </c>
    </row>
    <row customHeight="1" ht="24">
      <c r="A15" s="2053"/>
      <c r="B15" s="2052" t="s">
        <v>618</v>
      </c>
      <c r="C15" s="2052" t="s">
        <v>619</v>
      </c>
      <c r="D15" s="2051" t="s">
        <v>620</v>
      </c>
      <c r="E15" s="2055" t="s">
        <v>621</v>
      </c>
      <c r="F15" s="2055" t="s">
        <v>621</v>
      </c>
      <c r="G15" s="1638" t="s">
        <v>573</v>
      </c>
      <c r="H15" s="2020"/>
      <c r="I15" s="1632">
        <v>1</v>
      </c>
      <c r="J15" s="2021" t="s">
        <v>622</v>
      </c>
      <c r="K15" s="2019" t="s">
        <v>301</v>
      </c>
      <c r="L15" s="664"/>
      <c r="M15" s="820"/>
      <c r="N15" s="545" t="s">
        <v>623</v>
      </c>
      <c r="O15" s="1527" t="s">
        <v>624</v>
      </c>
      <c r="P15" s="545" t="s">
        <v>623</v>
      </c>
      <c r="AK15" s="1633">
        <v>23</v>
      </c>
    </row>
    <row customHeight="1" ht="35.699999999999996">
      <c r="A16" s="2053"/>
      <c r="B16" s="2052" t="s">
        <v>625</v>
      </c>
      <c r="C16" s="2052" t="s">
        <v>626</v>
      </c>
      <c r="D16" s="2051" t="s">
        <v>610</v>
      </c>
      <c r="E16" s="2055" t="s">
        <v>621</v>
      </c>
      <c r="F16" s="2055" t="s">
        <v>621</v>
      </c>
      <c r="H16" s="2020"/>
      <c r="I16" s="1631">
        <v>2</v>
      </c>
      <c r="J16" s="2062" t="s">
        <v>627</v>
      </c>
      <c r="K16" s="2061" t="s">
        <v>549</v>
      </c>
      <c r="L16" s="2067"/>
      <c r="M16" s="1677"/>
      <c r="N16" s="545" t="s">
        <v>623</v>
      </c>
      <c r="O16" s="1527" t="s">
        <v>628</v>
      </c>
      <c r="P16" s="545" t="s">
        <v>623</v>
      </c>
      <c r="AK16" s="1633">
        <v>34</v>
      </c>
    </row>
    <row s="1644" customFormat="1" customHeight="1" ht="17.25" hidden="1">
      <c r="A17" s="1169"/>
      <c r="B17" s="1169"/>
      <c r="C17" s="1169"/>
      <c r="D17" s="1169"/>
      <c r="E17" s="1169"/>
      <c r="H17" s="1326"/>
      <c r="I17" s="1015" t="s">
        <v>629</v>
      </c>
      <c r="J17" s="993"/>
      <c r="K17" s="1015"/>
      <c r="L17" s="994"/>
      <c r="M17" s="994"/>
      <c r="O17" s="1387"/>
      <c r="AK17" s="1638">
        <v>1</v>
      </c>
    </row>
    <row s="1368" customFormat="1" customHeight="1" ht="24">
      <c r="A18" s="989"/>
      <c r="B18" s="989"/>
      <c r="C18" s="989"/>
      <c r="D18" s="989"/>
      <c r="E18" s="989"/>
      <c r="G18" s="1638"/>
      <c r="H18" s="1635"/>
      <c r="I18" s="572"/>
      <c r="J18" s="573" t="s">
        <v>580</v>
      </c>
      <c r="K18" s="574"/>
      <c r="L18" s="2069"/>
      <c r="M18" s="575"/>
      <c r="N18" s="545"/>
      <c r="O18" s="1527" t="s">
        <v>581</v>
      </c>
      <c r="P18" s="545"/>
      <c r="Q18" s="1638"/>
      <c r="R18" s="1638"/>
      <c r="W18" s="1638"/>
      <c r="Z18" s="546"/>
      <c r="AF18" s="1634"/>
      <c r="AG18" s="1634"/>
      <c r="AH18" s="1634"/>
      <c r="AI18" s="1634"/>
      <c r="AJ18" s="1634"/>
      <c r="AK18" s="1368">
        <v>23</v>
      </c>
    </row>
    <row customHeight="1" ht="19.95">
      <c r="A19" s="2053"/>
      <c r="B19" s="2052" t="s">
        <v>630</v>
      </c>
      <c r="C19" s="2052" t="s">
        <v>631</v>
      </c>
      <c r="D19" s="2051" t="s">
        <v>610</v>
      </c>
      <c r="E19" s="2055" t="s">
        <v>621</v>
      </c>
      <c r="F19" s="2055" t="s">
        <v>621</v>
      </c>
      <c r="H19" s="2020"/>
      <c r="I19" s="1666">
        <v>3</v>
      </c>
      <c r="J19" s="2021" t="s">
        <v>631</v>
      </c>
      <c r="K19" s="2017" t="s">
        <v>549</v>
      </c>
      <c r="L19" s="729"/>
      <c r="M19" s="559"/>
      <c r="N19" s="545"/>
      <c r="O19" s="1527" t="s">
        <v>632</v>
      </c>
      <c r="P19" s="545"/>
      <c r="AK19" s="1633">
        <v>19</v>
      </c>
    </row>
    <row customHeight="1" ht="77.7">
      <c r="A20" s="2053"/>
      <c r="B20" s="2052" t="s">
        <v>633</v>
      </c>
      <c r="C20" s="2052" t="s">
        <v>634</v>
      </c>
      <c r="D20" s="2051" t="s">
        <v>610</v>
      </c>
      <c r="E20" s="2055" t="s">
        <v>621</v>
      </c>
      <c r="F20" s="2055" t="s">
        <v>621</v>
      </c>
      <c r="H20" s="2020"/>
      <c r="I20" s="1666">
        <v>4</v>
      </c>
      <c r="J20" s="2021" t="s">
        <v>635</v>
      </c>
      <c r="K20" s="2017" t="s">
        <v>577</v>
      </c>
      <c r="L20" s="729"/>
      <c r="M20" s="559"/>
      <c r="N20" s="545"/>
      <c r="O20" s="1527"/>
      <c r="P20" s="545"/>
      <c r="AK20" s="1633">
        <v>74</v>
      </c>
    </row>
    <row customHeight="1" ht="35.699999999999996">
      <c r="A21" s="2053"/>
      <c r="B21" s="2052" t="s">
        <v>636</v>
      </c>
      <c r="C21" s="2052" t="s">
        <v>637</v>
      </c>
      <c r="D21" s="2051" t="s">
        <v>610</v>
      </c>
      <c r="E21" s="2055" t="s">
        <v>621</v>
      </c>
      <c r="F21" s="2055" t="s">
        <v>621</v>
      </c>
      <c r="H21" s="2020"/>
      <c r="I21" s="1666">
        <v>5</v>
      </c>
      <c r="J21" s="2021" t="s">
        <v>638</v>
      </c>
      <c r="K21" s="2017" t="s">
        <v>577</v>
      </c>
      <c r="L21" s="729"/>
      <c r="M21" s="559"/>
      <c r="N21" s="545"/>
      <c r="O21" s="1527" t="s">
        <v>632</v>
      </c>
      <c r="P21" s="545"/>
      <c r="AK21" s="1633">
        <v>34</v>
      </c>
    </row>
    <row customHeight="1" ht="48.29999999999999">
      <c r="A22" s="2053"/>
      <c r="B22" s="2052" t="s">
        <v>639</v>
      </c>
      <c r="C22" s="2052" t="s">
        <v>640</v>
      </c>
      <c r="D22" s="2051" t="s">
        <v>610</v>
      </c>
      <c r="E22" s="2055" t="s">
        <v>621</v>
      </c>
      <c r="F22" s="2055" t="s">
        <v>621</v>
      </c>
      <c r="H22" s="2020"/>
      <c r="I22" s="1666">
        <v>6</v>
      </c>
      <c r="J22" s="2021" t="s">
        <v>641</v>
      </c>
      <c r="K22" s="2017" t="s">
        <v>577</v>
      </c>
      <c r="L22" s="729"/>
      <c r="M22" s="559"/>
      <c r="N22" s="545"/>
      <c r="O22" s="1527" t="s">
        <v>642</v>
      </c>
      <c r="P22" s="545"/>
      <c r="AK22" s="1633">
        <v>46</v>
      </c>
    </row>
    <row customHeight="1" ht="19.95">
      <c r="A23" s="2053"/>
      <c r="B23" s="2052" t="s">
        <v>643</v>
      </c>
      <c r="C23" s="2052" t="s">
        <v>644</v>
      </c>
      <c r="D23" s="2051" t="s">
        <v>610</v>
      </c>
      <c r="E23" s="2055" t="s">
        <v>621</v>
      </c>
      <c r="F23" s="2055" t="s">
        <v>621</v>
      </c>
      <c r="H23" s="2020"/>
      <c r="I23" s="1666" t="s">
        <v>645</v>
      </c>
      <c r="J23" s="1526" t="s">
        <v>646</v>
      </c>
      <c r="K23" s="2017" t="s">
        <v>577</v>
      </c>
      <c r="L23" s="729"/>
      <c r="M23" s="559"/>
      <c r="N23" s="545"/>
      <c r="O23" s="1527" t="s">
        <v>632</v>
      </c>
      <c r="P23" s="545"/>
      <c r="AK23" s="1633">
        <v>19</v>
      </c>
    </row>
    <row customHeight="1" ht="19.95">
      <c r="A24" s="2053"/>
      <c r="B24" s="2052" t="s">
        <v>647</v>
      </c>
      <c r="C24" s="2052" t="s">
        <v>648</v>
      </c>
      <c r="D24" s="2051" t="s">
        <v>610</v>
      </c>
      <c r="E24" s="2055" t="s">
        <v>621</v>
      </c>
      <c r="F24" s="2055" t="s">
        <v>621</v>
      </c>
      <c r="H24" s="2020"/>
      <c r="I24" s="1666" t="s">
        <v>649</v>
      </c>
      <c r="J24" s="1526" t="s">
        <v>650</v>
      </c>
      <c r="K24" s="2017" t="s">
        <v>577</v>
      </c>
      <c r="L24" s="729"/>
      <c r="M24" s="559"/>
      <c r="N24" s="545"/>
      <c r="O24" s="1527"/>
      <c r="P24" s="545"/>
      <c r="AK24" s="1633">
        <v>19</v>
      </c>
    </row>
    <row customHeight="1" ht="24">
      <c r="A25" s="2053"/>
      <c r="B25" s="2052" t="s">
        <v>651</v>
      </c>
      <c r="C25" s="2052" t="s">
        <v>652</v>
      </c>
      <c r="D25" s="2051" t="s">
        <v>610</v>
      </c>
      <c r="E25" s="2055" t="s">
        <v>621</v>
      </c>
      <c r="F25" s="2055" t="s">
        <v>621</v>
      </c>
      <c r="H25" s="2020"/>
      <c r="I25" s="1666" t="s">
        <v>653</v>
      </c>
      <c r="J25" s="1526" t="s">
        <v>654</v>
      </c>
      <c r="K25" s="2017" t="s">
        <v>577</v>
      </c>
      <c r="L25" s="729"/>
      <c r="M25" s="559"/>
      <c r="N25" s="545"/>
      <c r="O25" s="1527"/>
      <c r="P25" s="545"/>
      <c r="AK25" s="1633">
        <v>23</v>
      </c>
    </row>
    <row customHeight="1" ht="24">
      <c r="A26" s="2053"/>
      <c r="B26" s="2052" t="s">
        <v>655</v>
      </c>
      <c r="C26" s="2052" t="s">
        <v>656</v>
      </c>
      <c r="D26" s="2051" t="s">
        <v>610</v>
      </c>
      <c r="E26" s="2055" t="s">
        <v>621</v>
      </c>
      <c r="F26" s="2055" t="s">
        <v>621</v>
      </c>
      <c r="H26" s="2020"/>
      <c r="I26" s="1666">
        <v>7</v>
      </c>
      <c r="J26" s="2021" t="s">
        <v>656</v>
      </c>
      <c r="K26" s="2017" t="s">
        <v>657</v>
      </c>
      <c r="L26" s="729"/>
      <c r="M26" s="559"/>
      <c r="N26" s="545"/>
      <c r="O26" s="1527"/>
      <c r="P26" s="545"/>
      <c r="AK26" s="1633">
        <v>23</v>
      </c>
    </row>
    <row customHeight="1" ht="24">
      <c r="A27" s="2053"/>
      <c r="B27" s="2052" t="s">
        <v>658</v>
      </c>
      <c r="C27" s="2052" t="s">
        <v>659</v>
      </c>
      <c r="D27" s="2051" t="s">
        <v>610</v>
      </c>
      <c r="E27" s="2055" t="s">
        <v>621</v>
      </c>
      <c r="F27" s="2055" t="s">
        <v>621</v>
      </c>
      <c r="H27" s="2020"/>
      <c r="I27" s="1666">
        <v>8</v>
      </c>
      <c r="J27" s="2021" t="s">
        <v>659</v>
      </c>
      <c r="K27" s="2017" t="s">
        <v>582</v>
      </c>
      <c r="L27" s="729"/>
      <c r="M27" s="559"/>
      <c r="N27" s="545"/>
      <c r="O27" s="1527"/>
      <c r="P27" s="545"/>
      <c r="AK27" s="1633">
        <v>23</v>
      </c>
    </row>
    <row customHeight="1" ht="35.699999999999996">
      <c r="A28" s="2053"/>
      <c r="B28" s="2052" t="s">
        <v>660</v>
      </c>
      <c r="C28" s="2052" t="s">
        <v>661</v>
      </c>
      <c r="D28" s="2051" t="s">
        <v>610</v>
      </c>
      <c r="E28" s="2055" t="s">
        <v>621</v>
      </c>
      <c r="F28" s="2055" t="s">
        <v>621</v>
      </c>
      <c r="H28" s="2020"/>
      <c r="I28" s="1676">
        <v>9</v>
      </c>
      <c r="J28" s="2021" t="s">
        <v>662</v>
      </c>
      <c r="K28" s="2017" t="s">
        <v>553</v>
      </c>
      <c r="L28" s="729"/>
      <c r="M28" s="559"/>
      <c r="N28" s="545"/>
      <c r="O28" s="1527"/>
      <c r="P28" s="545"/>
      <c r="AK28" s="1633">
        <v>34</v>
      </c>
    </row>
    <row customHeight="1" ht="35.699999999999996">
      <c r="A29" s="2053"/>
      <c r="B29" s="2052" t="s">
        <v>663</v>
      </c>
      <c r="C29" s="2052" t="s">
        <v>664</v>
      </c>
      <c r="D29" s="2051" t="s">
        <v>610</v>
      </c>
      <c r="E29" s="2055" t="s">
        <v>621</v>
      </c>
      <c r="F29" s="2055" t="s">
        <v>621</v>
      </c>
      <c r="H29" s="2020"/>
      <c r="I29" s="1676">
        <v>10</v>
      </c>
      <c r="J29" s="2021" t="s">
        <v>665</v>
      </c>
      <c r="K29" s="2017" t="s">
        <v>553</v>
      </c>
      <c r="L29" s="729"/>
      <c r="M29" s="559"/>
      <c r="N29" s="545"/>
      <c r="O29" s="1527"/>
      <c r="P29" s="545"/>
      <c r="AK29" s="1633">
        <v>34</v>
      </c>
    </row>
    <row customHeight="1" ht="24">
      <c r="A30" s="2053"/>
      <c r="B30" s="2052" t="s">
        <v>666</v>
      </c>
      <c r="C30" s="2052" t="s">
        <v>667</v>
      </c>
      <c r="D30" s="2051" t="s">
        <v>610</v>
      </c>
      <c r="E30" s="2055" t="s">
        <v>621</v>
      </c>
      <c r="F30" s="2055" t="s">
        <v>621</v>
      </c>
      <c r="H30" s="2020"/>
      <c r="I30" s="1676">
        <v>11</v>
      </c>
      <c r="J30" s="2021" t="s">
        <v>667</v>
      </c>
      <c r="K30" s="2017" t="s">
        <v>583</v>
      </c>
      <c r="L30" s="2068"/>
      <c r="M30" s="1623"/>
      <c r="N30" s="545"/>
      <c r="O30" s="1527"/>
      <c r="P30" s="545"/>
      <c r="AK30" s="1633">
        <v>23</v>
      </c>
    </row>
    <row customHeight="1" ht="24">
      <c r="A31" s="2053"/>
      <c r="B31" s="2052" t="s">
        <v>668</v>
      </c>
      <c r="C31" s="2052" t="s">
        <v>669</v>
      </c>
      <c r="D31" s="2051" t="s">
        <v>610</v>
      </c>
      <c r="E31" s="2055" t="s">
        <v>621</v>
      </c>
      <c r="F31" s="2055" t="s">
        <v>621</v>
      </c>
      <c r="H31" s="2020"/>
      <c r="I31" s="1676">
        <v>12</v>
      </c>
      <c r="J31" s="2021" t="s">
        <v>669</v>
      </c>
      <c r="K31" s="2017" t="s">
        <v>583</v>
      </c>
      <c r="L31" s="2068"/>
      <c r="M31" s="1623"/>
      <c r="N31" s="545"/>
      <c r="O31" s="1527"/>
      <c r="P31" s="545"/>
      <c r="AK31" s="1633">
        <v>23</v>
      </c>
    </row>
    <row customHeight="1" ht="48.29999999999999">
      <c r="A32" s="2053"/>
      <c r="B32" s="2052" t="s">
        <v>670</v>
      </c>
      <c r="C32" s="2052" t="s">
        <v>671</v>
      </c>
      <c r="D32" s="2051" t="s">
        <v>610</v>
      </c>
      <c r="E32" s="2055" t="s">
        <v>621</v>
      </c>
      <c r="F32" s="2055" t="s">
        <v>621</v>
      </c>
      <c r="H32" s="2020"/>
      <c r="I32" s="1676">
        <v>13</v>
      </c>
      <c r="J32" s="2021" t="s">
        <v>672</v>
      </c>
      <c r="K32" s="2017" t="s">
        <v>593</v>
      </c>
      <c r="L32" s="729"/>
      <c r="M32" s="559"/>
      <c r="N32" s="545"/>
      <c r="O32" s="1527" t="s">
        <v>632</v>
      </c>
      <c r="P32" s="545"/>
      <c r="AK32" s="1633">
        <v>46</v>
      </c>
    </row>
    <row s="1368" customFormat="1" customHeight="1" ht="48.29999999999999">
      <c r="A33" s="2053"/>
      <c r="B33" s="2052" t="s">
        <v>673</v>
      </c>
      <c r="C33" s="2052" t="s">
        <v>674</v>
      </c>
      <c r="D33" s="2051" t="s">
        <v>610</v>
      </c>
      <c r="E33" s="2055" t="s">
        <v>621</v>
      </c>
      <c r="F33" s="2055" t="s">
        <v>621</v>
      </c>
      <c r="G33" s="1638"/>
      <c r="H33" s="2020"/>
      <c r="I33" s="1676">
        <v>14</v>
      </c>
      <c r="J33" s="2033" t="s">
        <v>675</v>
      </c>
      <c r="K33" s="2022" t="s">
        <v>676</v>
      </c>
      <c r="L33" s="729"/>
      <c r="M33" s="559"/>
      <c r="N33" s="545"/>
      <c r="O33" s="1527" t="s">
        <v>632</v>
      </c>
      <c r="P33" s="545"/>
      <c r="Q33" s="1638"/>
      <c r="R33" s="1638"/>
      <c r="W33" s="1638"/>
      <c r="Z33" s="546"/>
      <c r="AF33" s="1634"/>
      <c r="AG33" s="1634"/>
      <c r="AH33" s="1634"/>
      <c r="AI33" s="1634"/>
      <c r="AJ33" s="1634"/>
      <c r="AK33" s="1368">
        <v>46</v>
      </c>
    </row>
    <row customHeight="1" ht="108">
      <c r="A34" s="2053"/>
      <c r="B34" s="2052" t="s">
        <v>677</v>
      </c>
      <c r="C34" s="2052" t="s">
        <v>678</v>
      </c>
      <c r="D34" s="2051" t="s">
        <v>620</v>
      </c>
      <c r="E34" s="2055" t="s">
        <v>621</v>
      </c>
      <c r="F34" s="2055" t="s">
        <v>621</v>
      </c>
      <c r="G34" s="1638" t="s">
        <v>573</v>
      </c>
      <c r="H34" s="2020"/>
      <c r="I34" s="2031">
        <v>15</v>
      </c>
      <c r="J34" s="2032" t="s">
        <v>679</v>
      </c>
      <c r="K34" s="2017" t="s">
        <v>301</v>
      </c>
      <c r="L34" s="387"/>
      <c r="M34" s="1166"/>
      <c r="N34" s="545"/>
      <c r="O34" s="1527" t="s">
        <v>624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146</v>
      </c>
      <c r="C204" s="989" t="s">
        <v>146</v>
      </c>
      <c r="D204" s="989" t="s">
        <v>146</v>
      </c>
      <c r="E204" s="989" t="s">
        <v>146</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9C426-015B-367A-A7B7-F194D58E47C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420"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2" t="s">
        <v>680</v>
      </c>
      <c r="C2" s="2052" t="s">
        <v>681</v>
      </c>
      <c r="D2" s="2051" t="s">
        <v>620</v>
      </c>
      <c r="E2" s="2057">
        <f>I2-3</f>
        <v>-3</v>
      </c>
      <c r="F2" s="2057">
        <f>J2</f>
        <v>0</v>
      </c>
      <c r="H2" s="1731" t="s">
        <v>682</v>
      </c>
      <c r="I2" s="2023"/>
      <c r="J2" s="1683"/>
      <c r="K2" s="2017" t="s">
        <v>301</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310" t="s">
        <v>683</v>
      </c>
      <c r="J5" s="2310"/>
      <c r="K5" s="2310"/>
      <c r="L5" s="2310"/>
      <c r="M5" s="268"/>
      <c r="W5" s="1633">
        <v>48</v>
      </c>
    </row>
    <row customHeight="1" ht="18">
      <c r="H6" s="378"/>
      <c r="I6" s="2311" t="str">
        <f>IF(org=0,"Не определено",org)</f>
        <v>Муниципальное унитарное предприятие "Невельские коммунальные сети"</v>
      </c>
      <c r="J6" s="2311"/>
      <c r="K6" s="2311"/>
      <c r="L6" s="2311"/>
      <c r="M6" s="268"/>
      <c r="W6" s="1633">
        <v>17</v>
      </c>
    </row>
    <row customHeight="1" ht="14.699999999999998">
      <c r="H7" s="378"/>
      <c r="I7" s="459"/>
      <c r="J7" s="465"/>
      <c r="K7" s="465"/>
      <c r="L7" s="754"/>
      <c r="M7" s="195"/>
      <c r="W7" s="1633">
        <v>14</v>
      </c>
    </row>
    <row customHeight="1" ht="14.699999999999998">
      <c r="H8" s="378"/>
      <c r="I8" s="2411" t="s">
        <v>295</v>
      </c>
      <c r="J8" s="2412"/>
      <c r="K8" s="2412"/>
      <c r="L8" s="2413"/>
      <c r="M8" s="2414" t="s">
        <v>296</v>
      </c>
      <c r="W8" s="1633">
        <v>14</v>
      </c>
    </row>
    <row customHeight="1" ht="35.699999999999996">
      <c r="E9" s="2050" t="s">
        <v>611</v>
      </c>
      <c r="F9" s="2050" t="s">
        <v>617</v>
      </c>
      <c r="H9" s="378"/>
      <c r="I9" s="2024" t="s">
        <v>88</v>
      </c>
      <c r="J9" s="2025" t="s">
        <v>297</v>
      </c>
      <c r="K9" s="2063" t="s">
        <v>559</v>
      </c>
      <c r="L9" s="2064" t="s">
        <v>298</v>
      </c>
      <c r="M9" s="2414"/>
      <c r="W9" s="1633">
        <v>34</v>
      </c>
    </row>
    <row customHeight="1" ht="35.699999999999996">
      <c r="B10" s="2052" t="s">
        <v>684</v>
      </c>
      <c r="C10" s="2052" t="s">
        <v>685</v>
      </c>
      <c r="D10" s="2051" t="s">
        <v>620</v>
      </c>
      <c r="E10" s="2055" t="s">
        <v>621</v>
      </c>
      <c r="F10" s="2055" t="s">
        <v>621</v>
      </c>
      <c r="H10" s="378"/>
      <c r="I10" s="2023" t="s">
        <v>106</v>
      </c>
      <c r="J10" s="1885" t="s">
        <v>686</v>
      </c>
      <c r="K10" s="2017" t="s">
        <v>301</v>
      </c>
      <c r="L10" s="820"/>
      <c r="M10" s="299" t="s">
        <v>687</v>
      </c>
      <c r="W10" s="1633">
        <v>34</v>
      </c>
    </row>
    <row customHeight="1" ht="50.25">
      <c r="B11" s="2052" t="s">
        <v>688</v>
      </c>
      <c r="C11" s="2052" t="s">
        <v>689</v>
      </c>
      <c r="D11" s="2051" t="s">
        <v>620</v>
      </c>
      <c r="E11" s="2055" t="s">
        <v>621</v>
      </c>
      <c r="F11" s="2055" t="s">
        <v>621</v>
      </c>
      <c r="H11" s="378"/>
      <c r="I11" s="2023" t="s">
        <v>107</v>
      </c>
      <c r="J11" s="1885" t="s">
        <v>690</v>
      </c>
      <c r="K11" s="2017" t="s">
        <v>301</v>
      </c>
      <c r="L11" s="820"/>
      <c r="M11" s="299" t="s">
        <v>687</v>
      </c>
      <c r="W11" s="1633">
        <v>48</v>
      </c>
    </row>
    <row customHeight="1" ht="48.29999999999999">
      <c r="B12" s="2052" t="s">
        <v>691</v>
      </c>
      <c r="C12" s="2052" t="s">
        <v>692</v>
      </c>
      <c r="D12" s="2051" t="s">
        <v>620</v>
      </c>
      <c r="E12" s="2055" t="s">
        <v>621</v>
      </c>
      <c r="F12" s="2055" t="s">
        <v>621</v>
      </c>
      <c r="H12" s="1689"/>
      <c r="I12" s="2023" t="s">
        <v>90</v>
      </c>
      <c r="J12" s="2030" t="s">
        <v>693</v>
      </c>
      <c r="K12" s="2017" t="s">
        <v>301</v>
      </c>
      <c r="L12" s="820"/>
      <c r="M12" s="299" t="s">
        <v>694</v>
      </c>
      <c r="N12" s="1626"/>
      <c r="P12" s="1633"/>
      <c r="W12" s="1633">
        <v>46</v>
      </c>
    </row>
    <row customHeight="1" ht="14.699999999999998">
      <c r="E13" s="345"/>
      <c r="H13" s="378"/>
      <c r="I13" s="349"/>
      <c r="J13" s="653" t="s">
        <v>695</v>
      </c>
      <c r="K13" s="573"/>
      <c r="L13" s="216"/>
      <c r="M13" s="299"/>
      <c r="W13" s="1633">
        <v>14</v>
      </c>
    </row>
    <row customHeight="1" ht="14.699999999999998">
      <c r="E14" s="345"/>
      <c r="H14" s="378"/>
      <c r="I14" s="1059"/>
      <c r="J14" s="1678"/>
      <c r="K14" s="1679"/>
      <c r="L14" s="1680"/>
      <c r="M14" s="2027"/>
      <c r="W14" s="1633">
        <v>14</v>
      </c>
    </row>
    <row customHeight="1" ht="14.699999999999998">
      <c r="I15" s="1682"/>
      <c r="J15" s="2410"/>
      <c r="K15" s="2410"/>
      <c r="L15" s="2410"/>
      <c r="M15" s="2410"/>
      <c r="W15" s="1633">
        <v>14</v>
      </c>
    </row>
    <row customHeight="1" ht="21" hidden="1">
      <c r="A16" s="2029" t="s">
        <v>82</v>
      </c>
      <c r="B16" s="1633">
        <v>9</v>
      </c>
      <c r="C16" s="1633">
        <v>9</v>
      </c>
      <c r="D16" s="1633">
        <v>9</v>
      </c>
      <c r="E16" s="2029" t="s">
        <v>145</v>
      </c>
      <c r="F16" s="2054" t="s">
        <v>145</v>
      </c>
      <c r="G16" s="2056"/>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7E564-7963-B368-C6B9-070EAC926C4D}" mc:Ignorable="x14ac xr xr2 xr3">
  <sheetPr>
    <tabColor theme="9" tint="-0.25"/>
  </sheetPr>
  <dimension ref="A1:AF219"/>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545</v>
      </c>
      <c r="H2" s="543"/>
      <c r="I2" s="543"/>
      <c r="J2" s="544" t="s">
        <v>696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23" t="s">
        <v>697</v>
      </c>
      <c r="F6" s="2323"/>
      <c r="G6" s="2323"/>
      <c r="H6" s="2323"/>
      <c r="I6" s="2323"/>
      <c r="J6" s="558"/>
      <c r="AF6" s="1633">
        <v>30</v>
      </c>
    </row>
    <row customHeight="1" ht="11.549999999999999">
      <c r="E7" s="2311" t="str">
        <f>IF(org=0,"Не определено",org)</f>
        <v>Муниципальное унитарное предприятие "Невельские коммунальные сети"</v>
      </c>
      <c r="F7" s="2311"/>
      <c r="G7" s="2311"/>
      <c r="H7" s="2311"/>
      <c r="I7" s="2311"/>
      <c r="AF7" s="1633">
        <v>11</v>
      </c>
    </row>
    <row customHeight="1" ht="11.549999999999999">
      <c r="E8" s="1137"/>
      <c r="F8" s="1137"/>
      <c r="G8" s="1137"/>
      <c r="H8" s="1137"/>
      <c r="I8" s="1137"/>
      <c r="AF8" s="1633">
        <v>11</v>
      </c>
    </row>
    <row s="1644" customFormat="1" customHeight="1" ht="4.2">
      <c r="A9" s="1169"/>
      <c r="D9" s="1644"/>
      <c r="H9" s="891"/>
      <c r="I9" s="891" t="s">
        <v>114</v>
      </c>
      <c r="AF9" s="1638">
        <v>4</v>
      </c>
    </row>
    <row customHeight="1" ht="11.549999999999999">
      <c r="E10" s="713"/>
      <c r="F10" s="2395" t="s">
        <v>102</v>
      </c>
      <c r="G10" s="2396"/>
      <c r="H10" s="1554" t="str">
        <f>IF(H9="","",INDEX(DIFFERENTIATION_UNMERGE_VD,MATCH(H9,DIFFERENTIATION_ID_DIFF,0)))</f>
        <v/>
      </c>
      <c r="I10" s="1554">
        <f>IF(I9="","",INDEX(DIFFERENTIATION_UNMERGE_VD,MATCH(I9,DIFFERENTIATION_ID_DIFF,0)))</f>
        <v>0</v>
      </c>
      <c r="J10" s="2140" t="s">
        <v>296</v>
      </c>
      <c r="AF10" s="1633">
        <v>11</v>
      </c>
    </row>
    <row customHeight="1" ht="11.549999999999999">
      <c r="E11" s="713"/>
      <c r="F11" s="2395" t="s">
        <v>557</v>
      </c>
      <c r="G11" s="2396"/>
      <c r="H11" s="1554" t="str">
        <f>IF(H9="","",INDEX(DIFFERENTIATION_UNMERGE_AREA,MATCH(H9,DIFFERENTIATION_ID_DIFF,0)))</f>
        <v/>
      </c>
      <c r="I11" s="1554" t="str">
        <f>IF(I9="","",INDEX(DIFFERENTIATION_UNMERGE_AREA,MATCH(I9,DIFFERENTIATION_ID_DIFF,0)))</f>
        <v/>
      </c>
      <c r="J11" s="2140"/>
      <c r="AF11" s="1633">
        <v>11</v>
      </c>
    </row>
    <row customHeight="1" ht="1.05">
      <c r="E12" s="1664"/>
      <c r="F12" s="2415" t="s">
        <v>558</v>
      </c>
      <c r="G12" s="2416"/>
      <c r="H12" s="1665" t="str">
        <f>IF(H9="","",INDEX(DIFFERENTIATION_UNMERGE_SYSTEM,MATCH(H9,DIFFERENTIATION_ID_DIFF,0)))</f>
        <v/>
      </c>
      <c r="I12" s="1665" t="str">
        <f>IF(I9="","",INDEX(DIFFERENTIATION_UNMERGE_SYSTEM,MATCH(I9,DIFFERENTIATION_ID_DIFF,0)))</f>
        <v>без дифференциации</v>
      </c>
      <c r="J12" s="2140"/>
      <c r="AF12" s="1633">
        <v>1</v>
      </c>
    </row>
    <row customHeight="1" ht="11.549999999999999">
      <c r="E13" s="2397" t="s">
        <v>295</v>
      </c>
      <c r="F13" s="2398"/>
      <c r="G13" s="2398"/>
      <c r="H13" s="1553"/>
      <c r="I13" s="1553"/>
      <c r="J13" s="2140"/>
      <c r="AF13" s="1633">
        <v>11</v>
      </c>
    </row>
    <row customHeight="1" ht="24">
      <c r="E14" s="1641" t="s">
        <v>88</v>
      </c>
      <c r="F14" s="1636" t="s">
        <v>297</v>
      </c>
      <c r="G14" s="1636" t="s">
        <v>559</v>
      </c>
      <c r="H14" s="1636" t="s">
        <v>298</v>
      </c>
      <c r="I14" s="1636" t="s">
        <v>298</v>
      </c>
      <c r="J14" s="2140"/>
      <c r="AF14" s="1633">
        <v>23</v>
      </c>
    </row>
    <row customHeight="1" ht="19.95">
      <c r="D15" s="1640"/>
      <c r="E15" s="1632" t="s">
        <v>106</v>
      </c>
      <c r="F15" s="709" t="s">
        <v>698</v>
      </c>
      <c r="G15" s="1648" t="s">
        <v>545</v>
      </c>
      <c r="H15" s="559"/>
      <c r="I15" s="559"/>
      <c r="J15" s="291" t="s">
        <v>699</v>
      </c>
      <c r="K15" s="545" t="s">
        <v>623</v>
      </c>
      <c r="AF15" s="1633">
        <v>19</v>
      </c>
    </row>
    <row customHeight="1" ht="35.699999999999996">
      <c r="D16" s="1640"/>
      <c r="E16" s="1632" t="s">
        <v>107</v>
      </c>
      <c r="F16" s="709" t="s">
        <v>700</v>
      </c>
      <c r="G16" s="1648" t="s">
        <v>545</v>
      </c>
      <c r="H16" s="560">
        <f>SUM(H17,H20,H23,H26,H29:H32,H35)</f>
        <v>0</v>
      </c>
      <c r="I16" s="560">
        <f>SUM(I17,I20,I23,I26,I29:I32,I35)</f>
        <v>0</v>
      </c>
      <c r="J16" s="291" t="s">
        <v>701</v>
      </c>
      <c r="K16" s="545" t="s">
        <v>623</v>
      </c>
      <c r="AF16" s="1633">
        <v>34</v>
      </c>
    </row>
    <row customHeight="1" ht="19.95">
      <c r="D17" s="1640"/>
      <c r="E17" s="1666" t="s">
        <v>702</v>
      </c>
      <c r="F17" s="956" t="s">
        <v>703</v>
      </c>
      <c r="G17" s="1645" t="s">
        <v>545</v>
      </c>
      <c r="H17" s="559"/>
      <c r="I17" s="559"/>
      <c r="J17" s="291" t="s">
        <v>704</v>
      </c>
      <c r="K17" s="545"/>
      <c r="AF17" s="1633">
        <v>19</v>
      </c>
    </row>
    <row customHeight="1" ht="24">
      <c r="D18" s="1640"/>
      <c r="E18" s="1666" t="s">
        <v>705</v>
      </c>
      <c r="F18" s="1652" t="s">
        <v>706</v>
      </c>
      <c r="G18" s="1645" t="s">
        <v>545</v>
      </c>
      <c r="H18" s="559"/>
      <c r="I18" s="559"/>
      <c r="J18" s="291" t="s">
        <v>707</v>
      </c>
      <c r="K18" s="545"/>
      <c r="AF18" s="1633">
        <v>23</v>
      </c>
    </row>
    <row customHeight="1" ht="35.699999999999996">
      <c r="D19" s="1640"/>
      <c r="E19" s="1666" t="s">
        <v>708</v>
      </c>
      <c r="F19" s="1652" t="s">
        <v>709</v>
      </c>
      <c r="G19" s="1645" t="s">
        <v>545</v>
      </c>
      <c r="H19" s="559"/>
      <c r="I19" s="559"/>
      <c r="J19" s="291"/>
      <c r="K19" s="545"/>
      <c r="AF19" s="1633">
        <v>34</v>
      </c>
    </row>
    <row customHeight="1" ht="19.95">
      <c r="D20" s="1640"/>
      <c r="E20" s="1666" t="s">
        <v>302</v>
      </c>
      <c r="F20" s="956" t="s">
        <v>710</v>
      </c>
      <c r="G20" s="1645" t="s">
        <v>545</v>
      </c>
      <c r="H20" s="559"/>
      <c r="I20" s="559"/>
      <c r="J20" s="291" t="s">
        <v>711</v>
      </c>
      <c r="K20" s="545"/>
      <c r="AF20" s="1633">
        <v>19</v>
      </c>
    </row>
    <row customHeight="1" ht="19.95">
      <c r="D21" s="1640"/>
      <c r="E21" s="1666" t="s">
        <v>712</v>
      </c>
      <c r="F21" s="1652" t="s">
        <v>713</v>
      </c>
      <c r="G21" s="1645" t="s">
        <v>545</v>
      </c>
      <c r="H21" s="559"/>
      <c r="I21" s="559"/>
      <c r="J21" s="291"/>
      <c r="K21" s="545"/>
      <c r="AF21" s="1633">
        <v>19</v>
      </c>
    </row>
    <row customHeight="1" ht="19.95">
      <c r="D22" s="1640"/>
      <c r="E22" s="1666" t="s">
        <v>714</v>
      </c>
      <c r="F22" s="1652" t="s">
        <v>715</v>
      </c>
      <c r="G22" s="1645" t="s">
        <v>545</v>
      </c>
      <c r="H22" s="559"/>
      <c r="I22" s="559"/>
      <c r="J22" s="291"/>
      <c r="K22" s="545"/>
      <c r="AF22" s="1633">
        <v>19</v>
      </c>
    </row>
    <row customHeight="1" ht="24">
      <c r="D23" s="1640"/>
      <c r="E23" s="1666" t="s">
        <v>305</v>
      </c>
      <c r="F23" s="956" t="s">
        <v>716</v>
      </c>
      <c r="G23" s="1645" t="s">
        <v>545</v>
      </c>
      <c r="H23" s="559"/>
      <c r="I23" s="559"/>
      <c r="J23" s="291" t="s">
        <v>717</v>
      </c>
      <c r="K23" s="545"/>
      <c r="AF23" s="1633">
        <v>23</v>
      </c>
    </row>
    <row customHeight="1" ht="19.95">
      <c r="D24" s="1640"/>
      <c r="E24" s="1666" t="s">
        <v>718</v>
      </c>
      <c r="F24" s="1652" t="s">
        <v>719</v>
      </c>
      <c r="G24" s="1645" t="s">
        <v>545</v>
      </c>
      <c r="H24" s="559"/>
      <c r="I24" s="559"/>
      <c r="J24" s="291"/>
      <c r="K24" s="545"/>
      <c r="AF24" s="1633">
        <v>19</v>
      </c>
    </row>
    <row customHeight="1" ht="35.699999999999996">
      <c r="D25" s="1640"/>
      <c r="E25" s="1666" t="s">
        <v>720</v>
      </c>
      <c r="F25" s="1652" t="s">
        <v>721</v>
      </c>
      <c r="G25" s="1645" t="s">
        <v>545</v>
      </c>
      <c r="H25" s="559"/>
      <c r="I25" s="559"/>
      <c r="J25" s="291"/>
      <c r="K25" s="545"/>
      <c r="AF25" s="1633">
        <v>34</v>
      </c>
    </row>
    <row customHeight="1" ht="24">
      <c r="D26" s="1640"/>
      <c r="E26" s="1666" t="s">
        <v>722</v>
      </c>
      <c r="F26" s="956" t="s">
        <v>723</v>
      </c>
      <c r="G26" s="1645" t="s">
        <v>545</v>
      </c>
      <c r="H26" s="559"/>
      <c r="I26" s="559"/>
      <c r="J26" s="291" t="s">
        <v>724</v>
      </c>
      <c r="K26" s="545"/>
      <c r="AF26" s="1633">
        <v>23</v>
      </c>
    </row>
    <row customHeight="1" ht="19.95">
      <c r="D27" s="1640"/>
      <c r="E27" s="1676" t="s">
        <v>725</v>
      </c>
      <c r="F27" s="1652" t="s">
        <v>726</v>
      </c>
      <c r="G27" s="1656" t="s">
        <v>545</v>
      </c>
      <c r="H27" s="1677"/>
      <c r="I27" s="1677"/>
      <c r="J27" s="291"/>
      <c r="K27" s="545"/>
      <c r="AF27" s="1633">
        <v>19</v>
      </c>
    </row>
    <row customHeight="1" ht="19.95">
      <c r="D28" s="1640"/>
      <c r="E28" s="1676" t="s">
        <v>727</v>
      </c>
      <c r="F28" s="1652" t="s">
        <v>728</v>
      </c>
      <c r="G28" s="1656" t="s">
        <v>545</v>
      </c>
      <c r="H28" s="1677"/>
      <c r="I28" s="1677"/>
      <c r="J28" s="291"/>
      <c r="K28" s="545"/>
      <c r="AF28" s="1633">
        <v>19</v>
      </c>
    </row>
    <row customHeight="1" ht="19.95">
      <c r="D29" s="1640"/>
      <c r="E29" s="1676" t="s">
        <v>729</v>
      </c>
      <c r="F29" s="956" t="s">
        <v>730</v>
      </c>
      <c r="G29" s="1656" t="s">
        <v>545</v>
      </c>
      <c r="H29" s="1677"/>
      <c r="I29" s="1677"/>
      <c r="J29" s="291"/>
      <c r="K29" s="545"/>
      <c r="AF29" s="1633">
        <v>19</v>
      </c>
    </row>
    <row customHeight="1" ht="19.95">
      <c r="D30" s="1640"/>
      <c r="E30" s="1676" t="s">
        <v>731</v>
      </c>
      <c r="F30" s="956" t="s">
        <v>732</v>
      </c>
      <c r="G30" s="1656" t="s">
        <v>545</v>
      </c>
      <c r="H30" s="1677"/>
      <c r="I30" s="1677"/>
      <c r="J30" s="291"/>
      <c r="K30" s="545"/>
      <c r="AF30" s="1633">
        <v>19</v>
      </c>
    </row>
    <row customHeight="1" ht="19.95">
      <c r="D31" s="1640"/>
      <c r="E31" s="1676" t="s">
        <v>733</v>
      </c>
      <c r="F31" s="956" t="s">
        <v>734</v>
      </c>
      <c r="G31" s="1656" t="s">
        <v>545</v>
      </c>
      <c r="H31" s="1677"/>
      <c r="I31" s="1677"/>
      <c r="J31" s="291"/>
      <c r="K31" s="545"/>
      <c r="AF31" s="1633">
        <v>19</v>
      </c>
    </row>
    <row s="1368" customFormat="1" customHeight="1" ht="35.699999999999996">
      <c r="A32" s="989"/>
      <c r="C32" s="1638"/>
      <c r="D32" s="1640"/>
      <c r="E32" s="1676" t="s">
        <v>735</v>
      </c>
      <c r="F32" s="956" t="s">
        <v>736</v>
      </c>
      <c r="G32" s="1646" t="s">
        <v>545</v>
      </c>
      <c r="H32" s="581">
        <f>SUM(H33:H34)</f>
        <v>0</v>
      </c>
      <c r="I32" s="581">
        <f>SUM(I33:I34)</f>
        <v>0</v>
      </c>
      <c r="J32" s="291" t="s">
        <v>737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7" t="s">
        <v>570</v>
      </c>
      <c r="G34" s="574"/>
      <c r="H34" s="575"/>
      <c r="I34" s="575"/>
      <c r="J34" s="303" t="s">
        <v>738</v>
      </c>
      <c r="K34" s="545"/>
      <c r="L34" s="1638"/>
      <c r="M34" s="1638"/>
      <c r="R34" s="1638"/>
      <c r="U34" s="546"/>
      <c r="AA34" s="1634"/>
      <c r="AB34" s="1634"/>
      <c r="AC34" s="1634"/>
      <c r="AD34" s="1634"/>
      <c r="AE34" s="1634"/>
      <c r="AF34" s="1162">
        <v>19</v>
      </c>
    </row>
    <row customHeight="1" ht="60">
      <c r="D35" s="1640"/>
      <c r="E35" s="1676" t="s">
        <v>739</v>
      </c>
      <c r="F35" s="956" t="s">
        <v>740</v>
      </c>
      <c r="G35" s="1656" t="s">
        <v>545</v>
      </c>
      <c r="H35" s="1677"/>
      <c r="I35" s="1677"/>
      <c r="J35" s="291" t="s">
        <v>741</v>
      </c>
      <c r="K35" s="545"/>
      <c r="AF35" s="1633">
        <v>57</v>
      </c>
    </row>
    <row customHeight="1" ht="19.95">
      <c r="B36" s="1368"/>
      <c r="D36" s="2077"/>
      <c r="E36" s="1676" t="s">
        <v>742</v>
      </c>
      <c r="F36" s="2081" t="s">
        <v>743</v>
      </c>
      <c r="G36" s="2076" t="s">
        <v>545</v>
      </c>
      <c r="H36" s="2082"/>
      <c r="I36" s="2082"/>
      <c r="J36" s="2083" t="s">
        <v>744</v>
      </c>
      <c r="K36" s="545"/>
      <c r="N36" s="1368"/>
      <c r="O36" s="1368"/>
      <c r="P36" s="1368"/>
      <c r="Q36" s="1368"/>
      <c r="S36" s="1368"/>
      <c r="T36" s="1368"/>
      <c r="V36" s="1368"/>
      <c r="W36" s="1368"/>
      <c r="X36" s="1368"/>
      <c r="Y36" s="1368"/>
      <c r="Z36" s="1368"/>
      <c r="AF36" s="1633">
        <v>19</v>
      </c>
    </row>
    <row customHeight="1" ht="19.95">
      <c r="B37" s="1368"/>
      <c r="D37" s="2077"/>
      <c r="E37" s="1676" t="s">
        <v>745</v>
      </c>
      <c r="F37" s="2081" t="s">
        <v>746</v>
      </c>
      <c r="G37" s="2076" t="s">
        <v>545</v>
      </c>
      <c r="H37" s="2082"/>
      <c r="I37" s="2082"/>
      <c r="J37" s="2083" t="s">
        <v>747</v>
      </c>
      <c r="K37" s="545"/>
      <c r="N37" s="1368"/>
      <c r="O37" s="1368"/>
      <c r="P37" s="1368"/>
      <c r="Q37" s="1368"/>
      <c r="S37" s="1368"/>
      <c r="T37" s="1368"/>
      <c r="V37" s="1368"/>
      <c r="W37" s="1368"/>
      <c r="X37" s="1368"/>
      <c r="Y37" s="1368"/>
      <c r="Z37" s="1368"/>
      <c r="AF37" s="1633">
        <v>19</v>
      </c>
    </row>
    <row s="1368" customFormat="1" customHeight="1" ht="24">
      <c r="A38" s="991" t="s">
        <v>571</v>
      </c>
      <c r="C38" s="1638"/>
      <c r="D38" s="1640"/>
      <c r="E38" s="1666" t="s">
        <v>90</v>
      </c>
      <c r="F38" s="709" t="s">
        <v>748</v>
      </c>
      <c r="G38" s="1645" t="s">
        <v>545</v>
      </c>
      <c r="H38" s="559"/>
      <c r="I38" s="559"/>
      <c r="J38" s="291" t="s">
        <v>749</v>
      </c>
      <c r="K38" s="545"/>
      <c r="L38" s="1638"/>
      <c r="M38" s="1638"/>
      <c r="R38" s="1638"/>
      <c r="U38" s="546"/>
      <c r="AA38" s="1634"/>
      <c r="AB38" s="1634"/>
      <c r="AC38" s="1634"/>
      <c r="AD38" s="1634"/>
      <c r="AE38" s="1634"/>
      <c r="AF38" s="1162">
        <v>23</v>
      </c>
    </row>
    <row s="1368" customFormat="1" customHeight="1" ht="35.699999999999996">
      <c r="A39" s="991"/>
      <c r="C39" s="1638"/>
      <c r="D39" s="1640"/>
      <c r="E39" s="1666" t="s">
        <v>319</v>
      </c>
      <c r="F39" s="956" t="s">
        <v>750</v>
      </c>
      <c r="G39" s="1656"/>
      <c r="H39" s="559"/>
      <c r="I39" s="559"/>
      <c r="J39" s="291"/>
      <c r="K39" s="545"/>
      <c r="L39" s="1638"/>
      <c r="M39" s="1638"/>
      <c r="R39" s="1638"/>
      <c r="U39" s="546"/>
      <c r="AA39" s="1634"/>
      <c r="AB39" s="1634"/>
      <c r="AC39" s="1634"/>
      <c r="AD39" s="1634"/>
      <c r="AE39" s="1634"/>
      <c r="AF39" s="1162">
        <v>34</v>
      </c>
    </row>
    <row s="1368" customFormat="1" customHeight="1" ht="19.95">
      <c r="A40" s="989"/>
      <c r="C40" s="1638"/>
      <c r="D40" s="577"/>
      <c r="E40" s="1666" t="s">
        <v>91</v>
      </c>
      <c r="F40" s="709" t="s">
        <v>751</v>
      </c>
      <c r="G40" s="1645" t="s">
        <v>545</v>
      </c>
      <c r="H40" s="559"/>
      <c r="I40" s="559"/>
      <c r="J40" s="291" t="s">
        <v>752</v>
      </c>
      <c r="K40" s="545"/>
      <c r="L40" s="1638"/>
      <c r="M40" s="1638"/>
      <c r="R40" s="1638"/>
      <c r="U40" s="546"/>
      <c r="AA40" s="1634"/>
      <c r="AB40" s="1634"/>
      <c r="AC40" s="1634"/>
      <c r="AD40" s="1634"/>
      <c r="AE40" s="1634"/>
      <c r="AF40" s="1162">
        <v>19</v>
      </c>
    </row>
    <row s="1368" customFormat="1" customHeight="1" ht="24">
      <c r="A41" s="989"/>
      <c r="C41" s="1638"/>
      <c r="D41" s="577"/>
      <c r="E41" s="1666" t="s">
        <v>753</v>
      </c>
      <c r="F41" s="956" t="s">
        <v>754</v>
      </c>
      <c r="G41" s="1656" t="s">
        <v>545</v>
      </c>
      <c r="H41" s="559"/>
      <c r="I41" s="559"/>
      <c r="J41" s="291" t="s">
        <v>755</v>
      </c>
      <c r="K41" s="545"/>
      <c r="L41" s="1638"/>
      <c r="M41" s="1638"/>
      <c r="R41" s="1638"/>
      <c r="U41" s="546"/>
      <c r="AA41" s="1634"/>
      <c r="AB41" s="1634"/>
      <c r="AC41" s="1634"/>
      <c r="AD41" s="1634"/>
      <c r="AE41" s="1634"/>
      <c r="AF41" s="1162">
        <v>23</v>
      </c>
    </row>
    <row s="1368" customFormat="1" customHeight="1" ht="24">
      <c r="A42" s="989"/>
      <c r="C42" s="1638"/>
      <c r="D42" s="1640"/>
      <c r="E42" s="1666" t="s">
        <v>756</v>
      </c>
      <c r="F42" s="1652" t="s">
        <v>757</v>
      </c>
      <c r="G42" s="1645" t="s">
        <v>545</v>
      </c>
      <c r="H42" s="559"/>
      <c r="I42" s="559"/>
      <c r="J42" s="291" t="s">
        <v>758</v>
      </c>
      <c r="K42" s="545"/>
      <c r="L42" s="1638"/>
      <c r="M42" s="1638"/>
      <c r="R42" s="1638"/>
      <c r="U42" s="546"/>
      <c r="AA42" s="1634"/>
      <c r="AB42" s="1634"/>
      <c r="AC42" s="1634"/>
      <c r="AD42" s="1634"/>
      <c r="AE42" s="1634"/>
      <c r="AF42" s="1162">
        <v>23</v>
      </c>
    </row>
    <row s="1368" customFormat="1" customHeight="1" ht="24">
      <c r="A43" s="989"/>
      <c r="C43" s="1638"/>
      <c r="D43" s="1640"/>
      <c r="E43" s="1666" t="s">
        <v>759</v>
      </c>
      <c r="F43" s="1652" t="s">
        <v>760</v>
      </c>
      <c r="G43" s="1645" t="s">
        <v>545</v>
      </c>
      <c r="H43" s="559"/>
      <c r="I43" s="559"/>
      <c r="J43" s="291" t="s">
        <v>761</v>
      </c>
      <c r="K43" s="545"/>
      <c r="L43" s="1638"/>
      <c r="M43" s="1638"/>
      <c r="R43" s="1638"/>
      <c r="U43" s="546"/>
      <c r="AA43" s="1634"/>
      <c r="AB43" s="1634"/>
      <c r="AC43" s="1634"/>
      <c r="AD43" s="1634"/>
      <c r="AE43" s="1634"/>
      <c r="AF43" s="1162">
        <v>23</v>
      </c>
    </row>
    <row s="1368" customFormat="1" customHeight="1" ht="24">
      <c r="A44" s="989"/>
      <c r="C44" s="1638"/>
      <c r="D44" s="1640"/>
      <c r="E44" s="1666" t="s">
        <v>762</v>
      </c>
      <c r="F44" s="1652" t="s">
        <v>763</v>
      </c>
      <c r="G44" s="1645" t="s">
        <v>545</v>
      </c>
      <c r="H44" s="559"/>
      <c r="I44" s="559"/>
      <c r="J44" s="291" t="s">
        <v>764</v>
      </c>
      <c r="K44" s="545"/>
      <c r="L44" s="1638"/>
      <c r="M44" s="1638"/>
      <c r="R44" s="1638"/>
      <c r="U44" s="546"/>
      <c r="AA44" s="1634"/>
      <c r="AB44" s="1634"/>
      <c r="AC44" s="1634"/>
      <c r="AD44" s="1634"/>
      <c r="AE44" s="1634"/>
      <c r="AF44" s="1162">
        <v>23</v>
      </c>
    </row>
    <row s="1368" customFormat="1" customHeight="1" ht="35.699999999999996">
      <c r="A45" s="989"/>
      <c r="C45" s="1638" t="s">
        <v>573</v>
      </c>
      <c r="D45" s="1640"/>
      <c r="E45" s="1666" t="s">
        <v>108</v>
      </c>
      <c r="F45" s="709" t="s">
        <v>622</v>
      </c>
      <c r="G45" s="1648" t="s">
        <v>765</v>
      </c>
      <c r="H45" s="403"/>
      <c r="I45" s="403"/>
      <c r="J45" s="291" t="s">
        <v>766</v>
      </c>
      <c r="K45" s="545"/>
      <c r="L45" s="1638"/>
      <c r="M45" s="1638"/>
      <c r="R45" s="1638"/>
      <c r="U45" s="546"/>
      <c r="AA45" s="1634"/>
      <c r="AB45" s="1634"/>
      <c r="AC45" s="1634"/>
      <c r="AD45" s="1634"/>
      <c r="AE45" s="1634"/>
      <c r="AF45" s="1162">
        <v>34</v>
      </c>
    </row>
    <row s="1368" customFormat="1" customHeight="1" ht="35.699999999999996">
      <c r="A46" s="989"/>
      <c r="C46" s="1638"/>
      <c r="D46" s="1640"/>
      <c r="E46" s="1666" t="s">
        <v>92</v>
      </c>
      <c r="F46" s="709" t="s">
        <v>767</v>
      </c>
      <c r="G46" s="1645" t="s">
        <v>768</v>
      </c>
      <c r="H46" s="547"/>
      <c r="I46" s="547"/>
      <c r="J46" s="291" t="s">
        <v>769</v>
      </c>
      <c r="K46" s="545"/>
      <c r="L46" s="1638"/>
      <c r="M46" s="1638"/>
      <c r="R46" s="1638"/>
      <c r="U46" s="546"/>
      <c r="AA46" s="1634"/>
      <c r="AB46" s="1634"/>
      <c r="AC46" s="1634"/>
      <c r="AD46" s="1634"/>
      <c r="AE46" s="1634"/>
      <c r="AF46" s="1162">
        <v>34</v>
      </c>
    </row>
    <row s="1368" customFormat="1" customHeight="1" ht="24">
      <c r="A47" s="989"/>
      <c r="C47" s="1638"/>
      <c r="D47" s="1640"/>
      <c r="E47" s="1666" t="s">
        <v>93</v>
      </c>
      <c r="F47" s="709" t="s">
        <v>770</v>
      </c>
      <c r="G47" s="1656" t="s">
        <v>771</v>
      </c>
      <c r="H47" s="547"/>
      <c r="I47" s="547"/>
      <c r="J47" s="291" t="s">
        <v>772</v>
      </c>
      <c r="K47" s="545"/>
      <c r="L47" s="1638"/>
      <c r="M47" s="1638"/>
      <c r="R47" s="1638"/>
      <c r="U47" s="546"/>
      <c r="AA47" s="1634"/>
      <c r="AB47" s="1634"/>
      <c r="AC47" s="1634"/>
      <c r="AD47" s="1634"/>
      <c r="AE47" s="1634"/>
      <c r="AF47" s="1162">
        <v>23</v>
      </c>
    </row>
    <row s="1368" customFormat="1" customHeight="1" ht="19.95">
      <c r="A48" s="989"/>
      <c r="C48" s="1638"/>
      <c r="D48" s="1640"/>
      <c r="E48" s="1666" t="s">
        <v>109</v>
      </c>
      <c r="F48" s="709" t="s">
        <v>773</v>
      </c>
      <c r="G48" s="1645" t="s">
        <v>583</v>
      </c>
      <c r="H48" s="579"/>
      <c r="I48" s="579"/>
      <c r="J48" s="291"/>
      <c r="K48" s="545"/>
      <c r="L48" s="1638"/>
      <c r="M48" s="1638"/>
      <c r="R48" s="1638"/>
      <c r="U48" s="546"/>
      <c r="AA48" s="1634"/>
      <c r="AB48" s="1634"/>
      <c r="AC48" s="1634"/>
      <c r="AD48" s="1634"/>
      <c r="AE48" s="1634"/>
      <c r="AF48" s="1162">
        <v>19</v>
      </c>
    </row>
    <row customHeight="1" ht="11.549999999999999">
      <c r="D49" s="1640"/>
      <c r="AF49" s="163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H52" s="568"/>
      <c r="I52" s="568"/>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customHeight="1" ht="11.549999999999999">
      <c r="AF205" s="1633">
        <v>11</v>
      </c>
    </row>
    <row customHeight="1" ht="11.549999999999999">
      <c r="AF206" s="1633">
        <v>11</v>
      </c>
    </row>
    <row customHeight="1" ht="11.549999999999999">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549999999999999">
      <c r="A217" s="992"/>
      <c r="B217" s="1633"/>
      <c r="D217" s="1633"/>
      <c r="K217" s="1633"/>
      <c r="N217" s="1633"/>
      <c r="O217" s="1633"/>
      <c r="P217" s="1633"/>
      <c r="Q217" s="1633"/>
      <c r="S217" s="1633"/>
      <c r="T217" s="1633"/>
      <c r="U217" s="1633"/>
      <c r="V217" s="1633"/>
      <c r="W217" s="1633"/>
      <c r="X217" s="1633"/>
      <c r="Y217" s="1633"/>
      <c r="Z217" s="1633"/>
      <c r="AA217" s="1633"/>
      <c r="AB217" s="1633"/>
      <c r="AC217" s="1633"/>
      <c r="AD217" s="1633"/>
      <c r="AE217" s="1633"/>
      <c r="AF217" s="1633">
        <v>11</v>
      </c>
    </row>
    <row customHeight="1" ht="11.549999999999999">
      <c r="A218" s="992"/>
      <c r="B218" s="1633"/>
      <c r="D218" s="1633"/>
      <c r="K218" s="1633"/>
      <c r="N218" s="1633"/>
      <c r="O218" s="1633"/>
      <c r="P218" s="1633"/>
      <c r="Q218" s="1633"/>
      <c r="S218" s="1633"/>
      <c r="T218" s="1633"/>
      <c r="U218" s="1633"/>
      <c r="V218" s="1633"/>
      <c r="W218" s="1633"/>
      <c r="X218" s="1633"/>
      <c r="Y218" s="1633"/>
      <c r="Z218" s="1633"/>
      <c r="AA218" s="1633"/>
      <c r="AB218" s="1633"/>
      <c r="AC218" s="1633"/>
      <c r="AD218" s="1633"/>
      <c r="AE218" s="1633"/>
      <c r="AF218" s="1633">
        <v>11</v>
      </c>
    </row>
    <row customHeight="1" ht="11.25" hidden="1">
      <c r="A219" s="989" t="s">
        <v>82</v>
      </c>
      <c r="B219" s="1162">
        <v>0</v>
      </c>
      <c r="C219" s="1638">
        <v>0</v>
      </c>
      <c r="D219" s="1637">
        <v>3</v>
      </c>
      <c r="E219" s="1633">
        <v>7</v>
      </c>
      <c r="F219" s="1633">
        <v>56</v>
      </c>
      <c r="G219" s="1633">
        <v>10</v>
      </c>
      <c r="H219" s="1633">
        <v>0</v>
      </c>
      <c r="I219" s="1633">
        <v>40</v>
      </c>
      <c r="J219" s="1633">
        <v>102</v>
      </c>
      <c r="K219" s="1162">
        <v>9</v>
      </c>
      <c r="L219" s="1638">
        <v>5</v>
      </c>
      <c r="M219" s="1638">
        <v>3</v>
      </c>
      <c r="N219" s="1162">
        <v>3</v>
      </c>
      <c r="O219" s="1162">
        <v>3</v>
      </c>
      <c r="P219" s="1162">
        <v>3</v>
      </c>
      <c r="Q219" s="1162">
        <v>3</v>
      </c>
      <c r="R219" s="1638">
        <v>10</v>
      </c>
      <c r="S219" s="1162">
        <v>34</v>
      </c>
      <c r="T219" s="1162">
        <v>9</v>
      </c>
      <c r="U219" s="546">
        <v>8</v>
      </c>
      <c r="V219" s="1162">
        <v>8</v>
      </c>
      <c r="W219" s="1162">
        <v>8</v>
      </c>
      <c r="X219" s="1162">
        <v>8</v>
      </c>
      <c r="Y219" s="1162">
        <v>8</v>
      </c>
      <c r="Z219" s="1162">
        <v>8</v>
      </c>
      <c r="AA219" s="1634">
        <v>8</v>
      </c>
      <c r="AB219" s="1634">
        <v>8</v>
      </c>
      <c r="AC219" s="1634">
        <v>8</v>
      </c>
      <c r="AD219" s="1634">
        <v>8</v>
      </c>
      <c r="AE219" s="1634">
        <v>8</v>
      </c>
      <c r="AF219"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31D72-6333-406B-6908-A238E18A1DE8}" mc:Ignorable="x14ac xr xr2 xr3">
  <sheetPr>
    <tabColor theme="9" tint="-0.25"/>
  </sheetPr>
  <dimension ref="A1:AF215"/>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545</v>
      </c>
      <c r="H2" s="543"/>
      <c r="I2" s="543"/>
      <c r="J2" s="544" t="s">
        <v>548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310" t="s">
        <v>774</v>
      </c>
      <c r="F6" s="2310"/>
      <c r="G6" s="2310"/>
      <c r="H6" s="2310"/>
      <c r="I6" s="2310"/>
      <c r="J6" s="558"/>
      <c r="AF6" s="1633">
        <v>32</v>
      </c>
    </row>
    <row customHeight="1" ht="25.2">
      <c r="E7" s="2311" t="str">
        <f>IF(org=0,"Не определено",org)</f>
        <v>Муниципальное унитарное предприятие "Невельские коммунальные сети"</v>
      </c>
      <c r="F7" s="2311"/>
      <c r="G7" s="2311"/>
      <c r="H7" s="2311"/>
      <c r="I7" s="2311"/>
      <c r="AF7" s="1633">
        <v>24</v>
      </c>
    </row>
    <row customHeight="1" ht="11.549999999999999">
      <c r="E8" s="1137"/>
      <c r="F8" s="1137"/>
      <c r="G8" s="1137"/>
      <c r="H8" s="1137"/>
      <c r="I8" s="1137"/>
      <c r="AF8" s="1633">
        <v>11</v>
      </c>
    </row>
    <row s="1644" customFormat="1" customHeight="1" ht="1.05">
      <c r="A9" s="1169"/>
      <c r="D9" s="1644"/>
      <c r="H9" s="891"/>
      <c r="I9" s="891" t="s">
        <v>114</v>
      </c>
      <c r="AF9" s="1638">
        <v>1</v>
      </c>
    </row>
    <row customHeight="1" ht="11.549999999999999">
      <c r="E10" s="713"/>
      <c r="F10" s="2395" t="s">
        <v>102</v>
      </c>
      <c r="G10" s="2396"/>
      <c r="H10" s="1661" t="str">
        <f>IF(H9="","",INDEX(DIFFERENTIATION_UNMERGE_VD,MATCH(H9,DIFFERENTIATION_ID_DIFF,0)))</f>
        <v/>
      </c>
      <c r="I10" s="1661">
        <f>IF(I9="","",INDEX(DIFFERENTIATION_UNMERGE_VD,MATCH(I9,DIFFERENTIATION_ID_DIFF,0)))</f>
        <v>0</v>
      </c>
      <c r="J10" s="2140" t="s">
        <v>296</v>
      </c>
      <c r="AF10" s="1633">
        <v>11</v>
      </c>
    </row>
    <row customHeight="1" ht="11.549999999999999">
      <c r="E11" s="713"/>
      <c r="F11" s="2395" t="s">
        <v>557</v>
      </c>
      <c r="G11" s="2396"/>
      <c r="H11" s="1661" t="str">
        <f>IF(H9="","",INDEX(DIFFERENTIATION_UNMERGE_AREA,MATCH(H9,DIFFERENTIATION_ID_DIFF,0)))</f>
        <v/>
      </c>
      <c r="I11" s="1661" t="str">
        <f>IF(I9="","",INDEX(DIFFERENTIATION_UNMERGE_AREA,MATCH(I9,DIFFERENTIATION_ID_DIFF,0)))</f>
        <v/>
      </c>
      <c r="J11" s="2140"/>
      <c r="AF11" s="1633">
        <v>11</v>
      </c>
    </row>
    <row customHeight="1" ht="11.25" hidden="1">
      <c r="E12" s="1664"/>
      <c r="F12" s="2415" t="s">
        <v>558</v>
      </c>
      <c r="G12" s="2416"/>
      <c r="H12" s="1665" t="str">
        <f>IF(H9="","",INDEX(DIFFERENTIATION_UNMERGE_SYSTEM,MATCH(H9,DIFFERENTIATION_ID_DIFF,0)))</f>
        <v/>
      </c>
      <c r="I12" s="1665" t="str">
        <f>IF(I9="","",INDEX(DIFFERENTIATION_UNMERGE_SYSTEM,MATCH(I9,DIFFERENTIATION_ID_DIFF,0)))</f>
        <v>без дифференциации</v>
      </c>
      <c r="J12" s="2140"/>
      <c r="AF12" s="1633">
        <v>0</v>
      </c>
    </row>
    <row customHeight="1" ht="11.549999999999999">
      <c r="E13" s="2397" t="s">
        <v>295</v>
      </c>
      <c r="F13" s="2398"/>
      <c r="G13" s="2398"/>
      <c r="H13" s="1658"/>
      <c r="I13" s="1658"/>
      <c r="J13" s="2140"/>
      <c r="AF13" s="1633">
        <v>11</v>
      </c>
    </row>
    <row customHeight="1" ht="24">
      <c r="E14" s="1659" t="s">
        <v>88</v>
      </c>
      <c r="F14" s="1662" t="s">
        <v>297</v>
      </c>
      <c r="G14" s="1662" t="s">
        <v>559</v>
      </c>
      <c r="H14" s="1662" t="s">
        <v>298</v>
      </c>
      <c r="I14" s="1662" t="s">
        <v>298</v>
      </c>
      <c r="J14" s="2140"/>
      <c r="AF14" s="1633">
        <v>23</v>
      </c>
    </row>
    <row customHeight="1" ht="19.95">
      <c r="D15" s="1640"/>
      <c r="E15" s="1632" t="s">
        <v>106</v>
      </c>
      <c r="F15" s="709" t="s">
        <v>775</v>
      </c>
      <c r="G15" s="1659" t="s">
        <v>545</v>
      </c>
      <c r="H15" s="559"/>
      <c r="I15" s="559"/>
      <c r="J15" s="291" t="s">
        <v>776</v>
      </c>
      <c r="K15" s="545" t="s">
        <v>623</v>
      </c>
      <c r="AF15" s="1633">
        <v>19</v>
      </c>
    </row>
    <row customHeight="1" ht="24">
      <c r="D16" s="1640"/>
      <c r="E16" s="1632" t="s">
        <v>107</v>
      </c>
      <c r="F16" s="2086" t="s">
        <v>777</v>
      </c>
      <c r="G16" s="1659" t="s">
        <v>545</v>
      </c>
      <c r="H16" s="560">
        <f>SUM(H17,H20:H27)</f>
        <v>0</v>
      </c>
      <c r="I16" s="560">
        <f>SUM(I17,I20:I27)</f>
        <v>0</v>
      </c>
      <c r="J16" s="2083" t="s">
        <v>778</v>
      </c>
      <c r="K16" s="545" t="s">
        <v>623</v>
      </c>
      <c r="AF16" s="1633">
        <v>23</v>
      </c>
    </row>
    <row customHeight="1" ht="35.699999999999996">
      <c r="D17" s="1640"/>
      <c r="E17" s="1666" t="s">
        <v>702</v>
      </c>
      <c r="F17" s="1668" t="s">
        <v>779</v>
      </c>
      <c r="G17" s="1656" t="s">
        <v>545</v>
      </c>
      <c r="H17" s="559"/>
      <c r="I17" s="559"/>
      <c r="J17" s="291" t="s">
        <v>780</v>
      </c>
      <c r="K17" s="545"/>
      <c r="AF17" s="1633">
        <v>34</v>
      </c>
    </row>
    <row customHeight="1" ht="19.95">
      <c r="D18" s="1640"/>
      <c r="E18" s="1666" t="s">
        <v>705</v>
      </c>
      <c r="F18" s="1669" t="s">
        <v>781</v>
      </c>
      <c r="G18" s="1656" t="s">
        <v>545</v>
      </c>
      <c r="H18" s="559"/>
      <c r="I18" s="559"/>
      <c r="J18" s="291"/>
      <c r="K18" s="545"/>
      <c r="AF18" s="1633">
        <v>19</v>
      </c>
    </row>
    <row customHeight="1" ht="24">
      <c r="D19" s="1640"/>
      <c r="E19" s="1666" t="s">
        <v>708</v>
      </c>
      <c r="F19" s="1669" t="s">
        <v>782</v>
      </c>
      <c r="G19" s="1656" t="s">
        <v>545</v>
      </c>
      <c r="H19" s="559"/>
      <c r="I19" s="559"/>
      <c r="J19" s="291"/>
      <c r="K19" s="545"/>
      <c r="AF19" s="1633">
        <v>23</v>
      </c>
    </row>
    <row customHeight="1" ht="35.699999999999996">
      <c r="D20" s="1640"/>
      <c r="E20" s="1666" t="s">
        <v>302</v>
      </c>
      <c r="F20" s="1668" t="s">
        <v>783</v>
      </c>
      <c r="G20" s="1656" t="s">
        <v>545</v>
      </c>
      <c r="H20" s="559"/>
      <c r="I20" s="559"/>
      <c r="J20" s="291"/>
      <c r="K20" s="545"/>
      <c r="AF20" s="1633">
        <v>34</v>
      </c>
    </row>
    <row customHeight="1" ht="48.29999999999999">
      <c r="D21" s="1640"/>
      <c r="E21" s="1666" t="s">
        <v>305</v>
      </c>
      <c r="F21" s="1668" t="s">
        <v>784</v>
      </c>
      <c r="G21" s="1656" t="s">
        <v>545</v>
      </c>
      <c r="H21" s="559"/>
      <c r="I21" s="559"/>
      <c r="J21" s="291"/>
      <c r="K21" s="545"/>
      <c r="AF21" s="1633">
        <v>46</v>
      </c>
    </row>
    <row customHeight="1" ht="60">
      <c r="D22" s="1640"/>
      <c r="E22" s="1666" t="s">
        <v>722</v>
      </c>
      <c r="F22" s="1668" t="s">
        <v>785</v>
      </c>
      <c r="G22" s="1656" t="s">
        <v>545</v>
      </c>
      <c r="H22" s="559"/>
      <c r="I22" s="559"/>
      <c r="J22" s="291"/>
      <c r="K22" s="545"/>
      <c r="AF22" s="1633">
        <v>57</v>
      </c>
    </row>
    <row customHeight="1" ht="35.699999999999996">
      <c r="D23" s="1640"/>
      <c r="E23" s="1666" t="s">
        <v>729</v>
      </c>
      <c r="F23" s="1668" t="s">
        <v>786</v>
      </c>
      <c r="G23" s="1656" t="s">
        <v>545</v>
      </c>
      <c r="H23" s="559"/>
      <c r="I23" s="559"/>
      <c r="J23" s="291"/>
      <c r="K23" s="545"/>
      <c r="AF23" s="1633">
        <v>34</v>
      </c>
    </row>
    <row customHeight="1" ht="35.699999999999996">
      <c r="D24" s="1640"/>
      <c r="E24" s="1666" t="s">
        <v>731</v>
      </c>
      <c r="F24" s="1668" t="s">
        <v>787</v>
      </c>
      <c r="G24" s="1656" t="s">
        <v>545</v>
      </c>
      <c r="H24" s="559"/>
      <c r="I24" s="559"/>
      <c r="J24" s="291"/>
      <c r="K24" s="545"/>
      <c r="AF24" s="1633">
        <v>34</v>
      </c>
    </row>
    <row customHeight="1" ht="24">
      <c r="D25" s="1640"/>
      <c r="E25" s="1666" t="s">
        <v>733</v>
      </c>
      <c r="F25" s="1668" t="s">
        <v>788</v>
      </c>
      <c r="G25" s="1656" t="s">
        <v>545</v>
      </c>
      <c r="H25" s="559"/>
      <c r="I25" s="559"/>
      <c r="J25" s="291"/>
      <c r="K25" s="545"/>
      <c r="AF25" s="1633">
        <v>23</v>
      </c>
    </row>
    <row customHeight="1" ht="76.5">
      <c r="D26" s="1640"/>
      <c r="E26" s="1666" t="s">
        <v>735</v>
      </c>
      <c r="F26" s="1668" t="s">
        <v>789</v>
      </c>
      <c r="G26" s="1656" t="s">
        <v>545</v>
      </c>
      <c r="H26" s="559"/>
      <c r="I26" s="559"/>
      <c r="J26" s="291"/>
      <c r="K26" s="545"/>
      <c r="AF26" s="1633">
        <v>73</v>
      </c>
    </row>
    <row s="1368" customFormat="1" customHeight="1" ht="35.699999999999996">
      <c r="A27" s="989"/>
      <c r="C27" s="1638"/>
      <c r="D27" s="1640"/>
      <c r="E27" s="1631" t="s">
        <v>739</v>
      </c>
      <c r="F27" s="1630" t="s">
        <v>790</v>
      </c>
      <c r="G27" s="1657" t="s">
        <v>545</v>
      </c>
      <c r="H27" s="581">
        <f>SUM(H28:H29)</f>
        <v>0</v>
      </c>
      <c r="I27" s="581">
        <f>SUM(I28:I29)</f>
        <v>0</v>
      </c>
      <c r="J27" s="291" t="s">
        <v>737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7" t="s">
        <v>570</v>
      </c>
      <c r="G29" s="574"/>
      <c r="H29" s="575"/>
      <c r="I29" s="575"/>
      <c r="J29" s="303" t="s">
        <v>738</v>
      </c>
      <c r="K29" s="545"/>
      <c r="L29" s="1638"/>
      <c r="M29" s="1638"/>
      <c r="R29" s="1638"/>
      <c r="U29" s="546"/>
      <c r="AA29" s="1634"/>
      <c r="AB29" s="1634"/>
      <c r="AC29" s="1634"/>
      <c r="AD29" s="1634"/>
      <c r="AE29" s="1634"/>
      <c r="AF29" s="1162">
        <v>19</v>
      </c>
    </row>
    <row customHeight="1" ht="76.5">
      <c r="B30" s="1368"/>
      <c r="D30" s="2077"/>
      <c r="E30" s="1666" t="s">
        <v>791</v>
      </c>
      <c r="F30" s="2085" t="s">
        <v>746</v>
      </c>
      <c r="G30" s="2076" t="s">
        <v>545</v>
      </c>
      <c r="H30" s="559"/>
      <c r="I30" s="559"/>
      <c r="J30" s="2083" t="s">
        <v>792</v>
      </c>
      <c r="K30" s="545"/>
      <c r="N30" s="1368"/>
      <c r="O30" s="1368"/>
      <c r="P30" s="1368"/>
      <c r="Q30" s="1368"/>
      <c r="S30" s="1368"/>
      <c r="T30" s="1368"/>
      <c r="V30" s="1368"/>
      <c r="W30" s="1368"/>
      <c r="X30" s="1368"/>
      <c r="Y30" s="1368"/>
      <c r="Z30" s="1368"/>
      <c r="AF30" s="1633">
        <v>73</v>
      </c>
    </row>
    <row s="1368" customFormat="1" customHeight="1" ht="24">
      <c r="A31" s="989"/>
      <c r="C31" s="1638"/>
      <c r="D31" s="1640"/>
      <c r="E31" s="1666" t="s">
        <v>90</v>
      </c>
      <c r="F31" s="1663" t="s">
        <v>793</v>
      </c>
      <c r="G31" s="1656" t="s">
        <v>545</v>
      </c>
      <c r="H31" s="559"/>
      <c r="I31" s="559"/>
      <c r="J31" s="291"/>
      <c r="K31" s="545"/>
      <c r="L31" s="1638"/>
      <c r="M31" s="1638"/>
      <c r="R31" s="1638"/>
      <c r="U31" s="546"/>
      <c r="AA31" s="1634"/>
      <c r="AB31" s="1634"/>
      <c r="AC31" s="1634"/>
      <c r="AD31" s="1634"/>
      <c r="AE31" s="1634"/>
      <c r="AF31" s="1162">
        <v>23</v>
      </c>
    </row>
    <row s="1368" customFormat="1" customHeight="1" ht="35.699999999999996">
      <c r="A32" s="989"/>
      <c r="C32" s="1638"/>
      <c r="D32" s="577"/>
      <c r="E32" s="1666" t="s">
        <v>91</v>
      </c>
      <c r="F32" s="1663" t="s">
        <v>794</v>
      </c>
      <c r="G32" s="1656" t="s">
        <v>545</v>
      </c>
      <c r="H32" s="559"/>
      <c r="I32" s="559"/>
      <c r="J32" s="291" t="s">
        <v>795</v>
      </c>
      <c r="K32" s="545"/>
      <c r="L32" s="1638"/>
      <c r="M32" s="1638"/>
      <c r="R32" s="1638"/>
      <c r="U32" s="546"/>
      <c r="AA32" s="1634"/>
      <c r="AB32" s="1634"/>
      <c r="AC32" s="1634"/>
      <c r="AD32" s="1634"/>
      <c r="AE32" s="1634"/>
      <c r="AF32" s="1162">
        <v>34</v>
      </c>
    </row>
    <row s="1368" customFormat="1" customHeight="1" ht="24">
      <c r="A33" s="989"/>
      <c r="C33" s="1638"/>
      <c r="D33" s="1640"/>
      <c r="E33" s="1666" t="s">
        <v>753</v>
      </c>
      <c r="F33" s="692" t="s">
        <v>757</v>
      </c>
      <c r="G33" s="1656" t="s">
        <v>545</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798</v>
      </c>
      <c r="G34" s="1656" t="s">
        <v>545</v>
      </c>
      <c r="H34" s="559"/>
      <c r="I34" s="559"/>
      <c r="J34" s="291" t="s">
        <v>799</v>
      </c>
      <c r="K34" s="545"/>
      <c r="L34" s="1638"/>
      <c r="M34" s="1638"/>
      <c r="R34" s="1638"/>
      <c r="U34" s="546"/>
      <c r="AA34" s="1634"/>
      <c r="AB34" s="1634"/>
      <c r="AC34" s="1634"/>
      <c r="AD34" s="1634"/>
      <c r="AE34" s="1634"/>
      <c r="AF34" s="1162">
        <v>23</v>
      </c>
    </row>
    <row s="1368" customFormat="1" customHeight="1" ht="24">
      <c r="A35" s="989"/>
      <c r="C35" s="1638"/>
      <c r="D35" s="1640"/>
      <c r="E35" s="1666" t="s">
        <v>800</v>
      </c>
      <c r="F35" s="692" t="s">
        <v>763</v>
      </c>
      <c r="G35" s="1656" t="s">
        <v>545</v>
      </c>
      <c r="H35" s="559"/>
      <c r="I35" s="559"/>
      <c r="J35" s="291" t="s">
        <v>801</v>
      </c>
      <c r="K35" s="545"/>
      <c r="L35" s="1638"/>
      <c r="M35" s="1638"/>
      <c r="R35" s="1638"/>
      <c r="U35" s="546"/>
      <c r="AA35" s="1634"/>
      <c r="AB35" s="1634"/>
      <c r="AC35" s="1634"/>
      <c r="AD35" s="1634"/>
      <c r="AE35" s="1634"/>
      <c r="AF35" s="1162">
        <v>23</v>
      </c>
    </row>
    <row s="1368" customFormat="1" customHeight="1" ht="35.699999999999996">
      <c r="A36" s="989"/>
      <c r="C36" s="1638" t="s">
        <v>573</v>
      </c>
      <c r="D36" s="1640"/>
      <c r="E36" s="1666" t="s">
        <v>108</v>
      </c>
      <c r="F36" s="1663" t="s">
        <v>622</v>
      </c>
      <c r="G36" s="1659" t="s">
        <v>301</v>
      </c>
      <c r="H36" s="403"/>
      <c r="I36" s="403"/>
      <c r="J36" s="291" t="s">
        <v>802</v>
      </c>
      <c r="K36" s="545"/>
      <c r="L36" s="1638"/>
      <c r="M36" s="1638"/>
      <c r="R36" s="1638"/>
      <c r="U36" s="546"/>
      <c r="AA36" s="1634"/>
      <c r="AB36" s="1634"/>
      <c r="AC36" s="1634"/>
      <c r="AD36" s="1634"/>
      <c r="AE36" s="1634"/>
      <c r="AF36" s="1162">
        <v>34</v>
      </c>
    </row>
    <row s="1368" customFormat="1" customHeight="1" ht="35.699999999999996">
      <c r="A37" s="989"/>
      <c r="C37" s="1638"/>
      <c r="D37" s="1640"/>
      <c r="E37" s="1666" t="s">
        <v>92</v>
      </c>
      <c r="F37" s="1663" t="s">
        <v>803</v>
      </c>
      <c r="G37" s="1656" t="s">
        <v>768</v>
      </c>
      <c r="H37" s="2084"/>
      <c r="I37" s="2084"/>
      <c r="J37" s="291" t="s">
        <v>769</v>
      </c>
      <c r="K37" s="545"/>
      <c r="L37" s="1638"/>
      <c r="M37" s="1638"/>
      <c r="R37" s="1638"/>
      <c r="U37" s="546"/>
      <c r="AA37" s="1634"/>
      <c r="AB37" s="1634"/>
      <c r="AC37" s="1634"/>
      <c r="AD37" s="1634"/>
      <c r="AE37" s="1634"/>
      <c r="AF37" s="1162">
        <v>34</v>
      </c>
    </row>
    <row s="1368" customFormat="1" customHeight="1" ht="33.75">
      <c r="A38" s="989"/>
      <c r="C38" s="1638"/>
      <c r="D38" s="2077"/>
      <c r="E38" s="1666" t="s">
        <v>645</v>
      </c>
      <c r="F38" s="2085" t="s">
        <v>804</v>
      </c>
      <c r="G38" s="2076" t="s">
        <v>768</v>
      </c>
      <c r="H38" s="547"/>
      <c r="I38" s="547"/>
      <c r="J38" s="2083" t="s">
        <v>805</v>
      </c>
      <c r="K38" s="545"/>
      <c r="L38" s="1638"/>
      <c r="M38" s="1638"/>
      <c r="R38" s="1638"/>
      <c r="U38" s="546"/>
      <c r="AA38" s="1634"/>
      <c r="AB38" s="1634"/>
      <c r="AC38" s="1634"/>
      <c r="AD38" s="1634"/>
      <c r="AE38" s="1634"/>
    </row>
    <row s="1368" customFormat="1" customHeight="1" ht="33.75">
      <c r="A39" s="989"/>
      <c r="C39" s="1638"/>
      <c r="D39" s="2077"/>
      <c r="E39" s="1666" t="s">
        <v>649</v>
      </c>
      <c r="F39" s="2085" t="s">
        <v>806</v>
      </c>
      <c r="G39" s="2076" t="s">
        <v>768</v>
      </c>
      <c r="H39" s="547"/>
      <c r="I39" s="547"/>
      <c r="J39" s="2083" t="s">
        <v>807</v>
      </c>
      <c r="K39" s="545"/>
      <c r="L39" s="1638"/>
      <c r="M39" s="1638"/>
      <c r="R39" s="1638"/>
      <c r="U39" s="546"/>
      <c r="AA39" s="1634"/>
      <c r="AB39" s="1634"/>
      <c r="AC39" s="1634"/>
      <c r="AD39" s="1634"/>
      <c r="AE39" s="1634"/>
    </row>
    <row s="1368" customFormat="1" customHeight="1" ht="24">
      <c r="A40" s="989"/>
      <c r="C40" s="1638"/>
      <c r="D40" s="1640"/>
      <c r="E40" s="1666" t="s">
        <v>93</v>
      </c>
      <c r="F40" s="1663" t="s">
        <v>808</v>
      </c>
      <c r="G40" s="1656" t="s">
        <v>771</v>
      </c>
      <c r="H40" s="2084"/>
      <c r="I40" s="2084"/>
      <c r="J40" s="291" t="s">
        <v>772</v>
      </c>
      <c r="K40" s="545"/>
      <c r="L40" s="1638"/>
      <c r="M40" s="1638"/>
      <c r="R40" s="1638"/>
      <c r="U40" s="546"/>
      <c r="AA40" s="1634"/>
      <c r="AB40" s="1634"/>
      <c r="AC40" s="1634"/>
      <c r="AD40" s="1634"/>
      <c r="AE40" s="1634"/>
      <c r="AF40" s="1162">
        <v>23</v>
      </c>
    </row>
    <row s="1368" customFormat="1" customHeight="1" ht="24">
      <c r="A41" s="989"/>
      <c r="C41" s="1638"/>
      <c r="D41" s="2077"/>
      <c r="E41" s="1666" t="s">
        <v>809</v>
      </c>
      <c r="F41" s="2085" t="s">
        <v>810</v>
      </c>
      <c r="G41" s="2076" t="s">
        <v>771</v>
      </c>
      <c r="H41" s="547"/>
      <c r="I41" s="547"/>
      <c r="J41" s="2083" t="s">
        <v>811</v>
      </c>
      <c r="K41" s="545"/>
      <c r="L41" s="1638"/>
      <c r="M41" s="1638"/>
      <c r="R41" s="1638"/>
      <c r="U41" s="546"/>
      <c r="AA41" s="1634"/>
      <c r="AB41" s="1634"/>
      <c r="AC41" s="1634"/>
      <c r="AD41" s="1634"/>
      <c r="AE41" s="1634"/>
      <c r="AF41" s="1368">
        <v>23</v>
      </c>
    </row>
    <row s="1368" customFormat="1" customHeight="1" ht="24">
      <c r="A42" s="989"/>
      <c r="C42" s="1638"/>
      <c r="D42" s="2077"/>
      <c r="E42" s="1666" t="s">
        <v>812</v>
      </c>
      <c r="F42" s="2085" t="s">
        <v>813</v>
      </c>
      <c r="G42" s="2076" t="s">
        <v>771</v>
      </c>
      <c r="H42" s="547"/>
      <c r="I42" s="547"/>
      <c r="J42" s="2083" t="s">
        <v>814</v>
      </c>
      <c r="K42" s="545"/>
      <c r="L42" s="1638"/>
      <c r="M42" s="1638"/>
      <c r="R42" s="1638"/>
      <c r="U42" s="546"/>
      <c r="AA42" s="1634"/>
      <c r="AB42" s="1634"/>
      <c r="AC42" s="1634"/>
      <c r="AD42" s="1634"/>
      <c r="AE42" s="1634"/>
      <c r="AF42" s="1368">
        <v>23</v>
      </c>
    </row>
    <row customHeight="1" ht="11.549999999999999">
      <c r="D43" s="1640"/>
      <c r="AF43" s="1633">
        <v>11</v>
      </c>
    </row>
    <row customHeight="1" ht="27.299999999999997">
      <c r="D44" s="1640"/>
      <c r="E44" s="1255" t="s">
        <v>815</v>
      </c>
      <c r="F44" s="2276" t="s">
        <v>816</v>
      </c>
      <c r="G44" s="2276"/>
      <c r="H44" s="371"/>
      <c r="I44" s="371"/>
      <c r="J44" s="371"/>
      <c r="AF44" s="1633">
        <v>26</v>
      </c>
    </row>
    <row s="1643" customFormat="1" customHeight="1" ht="39.75">
      <c r="A45" s="989"/>
      <c r="B45" s="1638"/>
      <c r="C45" s="1638"/>
      <c r="D45" s="353"/>
      <c r="F45" s="2276" t="s">
        <v>817</v>
      </c>
      <c r="G45" s="2276"/>
      <c r="H45" s="371"/>
      <c r="I45" s="371"/>
      <c r="J45" s="371"/>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38</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H48" s="568"/>
      <c r="I48" s="568"/>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customHeight="1" ht="11.549999999999999">
      <c r="AF201" s="1633">
        <v>11</v>
      </c>
    </row>
    <row customHeight="1" ht="11.549999999999999">
      <c r="AF202" s="1633">
        <v>11</v>
      </c>
    </row>
    <row customHeight="1" ht="11.549999999999999">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25" hidden="1">
      <c r="A215" s="989" t="s">
        <v>82</v>
      </c>
      <c r="B215" s="1162">
        <v>0</v>
      </c>
      <c r="C215" s="1638">
        <v>0</v>
      </c>
      <c r="D215" s="1637">
        <v>3</v>
      </c>
      <c r="E215" s="1633">
        <v>7</v>
      </c>
      <c r="F215" s="1633">
        <v>54</v>
      </c>
      <c r="G215" s="1633">
        <v>10</v>
      </c>
      <c r="H215" s="1633">
        <v>0</v>
      </c>
      <c r="I215" s="1633">
        <v>40</v>
      </c>
      <c r="J215" s="1633">
        <v>102</v>
      </c>
      <c r="K215" s="1162">
        <v>9</v>
      </c>
      <c r="L215" s="1638">
        <v>5</v>
      </c>
      <c r="M215" s="1638">
        <v>3</v>
      </c>
      <c r="N215" s="1162">
        <v>3</v>
      </c>
      <c r="O215" s="1162">
        <v>3</v>
      </c>
      <c r="P215" s="1162">
        <v>3</v>
      </c>
      <c r="Q215" s="1162">
        <v>3</v>
      </c>
      <c r="R215" s="1638">
        <v>10</v>
      </c>
      <c r="S215" s="1162">
        <v>34</v>
      </c>
      <c r="T215" s="1162">
        <v>9</v>
      </c>
      <c r="U215" s="546">
        <v>8</v>
      </c>
      <c r="V215" s="1162">
        <v>8</v>
      </c>
      <c r="W215" s="1162">
        <v>8</v>
      </c>
      <c r="X215" s="1162">
        <v>8</v>
      </c>
      <c r="Y215" s="1162">
        <v>8</v>
      </c>
      <c r="Z215" s="1162">
        <v>8</v>
      </c>
      <c r="AA215" s="1634">
        <v>8</v>
      </c>
      <c r="AB215" s="1634">
        <v>8</v>
      </c>
      <c r="AC215" s="1634">
        <v>8</v>
      </c>
      <c r="AD215" s="1634">
        <v>8</v>
      </c>
      <c r="AE215" s="1634">
        <v>8</v>
      </c>
      <c r="AF215" s="1633">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E3E63-F237-DAF8-CC08-A07154607A4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6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2"/>
      <c r="F3" s="2263"/>
      <c r="X3" s="507">
        <v>75</v>
      </c>
    </row>
    <row s="1637" customFormat="1" customHeight="1" ht="21">
      <c r="A4" s="953"/>
      <c r="B4" s="513"/>
      <c r="D4" s="2249" t="str">
        <f>IF(org=0,"Не определено",org)</f>
        <v>Муниципальное унитарное предприятие "Невельские коммунальные сети"</v>
      </c>
      <c r="E4" s="2250"/>
      <c r="F4" s="2251"/>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114</v>
      </c>
      <c r="J6" s="1024"/>
      <c r="X6" s="507">
        <v>1</v>
      </c>
    </row>
    <row customHeight="1" ht="11.549999999999999">
      <c r="D7" s="713"/>
      <c r="E7" s="2395" t="s">
        <v>102</v>
      </c>
      <c r="F7" s="2396"/>
      <c r="G7" s="2417" t="str">
        <f>IF(G6="","",INDEX(DIFFERENTIATION_UNMERGE_VD,MATCH(G6,DIFFERENTIATION_ID_DIFF,0)))</f>
        <v/>
      </c>
      <c r="H7" s="2418"/>
      <c r="I7" s="2417">
        <f>IF(I6="","",INDEX(DIFFERENTIATION_UNMERGE_VD,MATCH(I6,DIFFERENTIATION_ID_DIFF,0)))</f>
        <v>0</v>
      </c>
      <c r="J7" s="2418"/>
      <c r="K7" s="2199"/>
      <c r="L7" s="511"/>
      <c r="X7" s="507">
        <v>11</v>
      </c>
    </row>
    <row customHeight="1" ht="11.549999999999999">
      <c r="A8" s="706"/>
      <c r="D8" s="713"/>
      <c r="E8" s="2395" t="s">
        <v>557</v>
      </c>
      <c r="F8" s="2396"/>
      <c r="G8" s="2417" t="str">
        <f>IF(G6="","",INDEX(DIFFERENTIATION_UNMERGE_AREA,MATCH(G6,DIFFERENTIATION_ID_DIFF,0)))</f>
        <v/>
      </c>
      <c r="H8" s="2418"/>
      <c r="I8" s="2417" t="str">
        <f>IF(I6="","",INDEX(DIFFERENTIATION_UNMERGE_AREA,MATCH(I6,DIFFERENTIATION_ID_DIFF,0)))</f>
        <v/>
      </c>
      <c r="J8" s="2418"/>
      <c r="K8" s="2207"/>
      <c r="L8" s="511"/>
      <c r="X8" s="507">
        <v>11</v>
      </c>
    </row>
    <row customHeight="1" ht="11.549999999999999">
      <c r="A9" s="706"/>
      <c r="D9" s="713"/>
      <c r="E9" s="2395" t="s">
        <v>558</v>
      </c>
      <c r="F9" s="2396"/>
      <c r="G9" s="2417" t="str">
        <f>IF(G6="","",INDEX(DIFFERENTIATION_UNMERGE_SYSTEM,MATCH(G6,DIFFERENTIATION_ID_DIFF,0)))</f>
        <v/>
      </c>
      <c r="H9" s="2418"/>
      <c r="I9" s="2417" t="str">
        <f>IF(I6="","",INDEX(DIFFERENTIATION_UNMERGE_SYSTEM,MATCH(I6,DIFFERENTIATION_ID_DIFF,0)))</f>
        <v>без дифференциации</v>
      </c>
      <c r="J9" s="2418"/>
      <c r="K9" s="2207"/>
      <c r="L9" s="511"/>
      <c r="X9" s="507">
        <v>11</v>
      </c>
    </row>
    <row s="1637" customFormat="1" customHeight="1" ht="11.549999999999999">
      <c r="A10" s="1023"/>
      <c r="B10" s="513"/>
      <c r="D10" s="2124" t="s">
        <v>295</v>
      </c>
      <c r="E10" s="2125"/>
      <c r="F10" s="2125"/>
      <c r="G10" s="2125"/>
      <c r="H10" s="2125"/>
      <c r="I10" s="2125"/>
      <c r="J10" s="2126"/>
      <c r="K10" s="2207"/>
      <c r="L10" s="511"/>
      <c r="X10" s="760">
        <v>11</v>
      </c>
    </row>
    <row s="1637" customFormat="1" customHeight="1" ht="24">
      <c r="A11" s="2410"/>
      <c r="B11" s="2410"/>
      <c r="C11" s="659"/>
      <c r="D11" s="705" t="s">
        <v>88</v>
      </c>
      <c r="E11" s="707" t="s">
        <v>818</v>
      </c>
      <c r="F11" s="707" t="s">
        <v>559</v>
      </c>
      <c r="G11" s="467" t="s">
        <v>298</v>
      </c>
      <c r="H11" s="467" t="s">
        <v>385</v>
      </c>
      <c r="I11" s="809" t="s">
        <v>298</v>
      </c>
      <c r="J11" s="810" t="s">
        <v>385</v>
      </c>
      <c r="K11" s="2260"/>
      <c r="L11" s="660"/>
      <c r="X11" s="511">
        <v>23</v>
      </c>
    </row>
    <row s="1644" customFormat="1" customHeight="1" ht="10.5">
      <c r="A12" s="954"/>
      <c r="D12" s="1027" t="s">
        <v>106</v>
      </c>
      <c r="E12" s="1027" t="s">
        <v>107</v>
      </c>
      <c r="F12" s="1027" t="s">
        <v>90</v>
      </c>
      <c r="G12" s="1028" t="str">
        <f>G1&amp;".1"</f>
        <v>4.1</v>
      </c>
      <c r="H12" s="1028" t="str">
        <f>G1&amp;".2"</f>
        <v>4.2</v>
      </c>
      <c r="I12" s="1028" t="str">
        <f>I1&amp;".1"</f>
        <v>4.1</v>
      </c>
      <c r="J12" s="1028" t="str">
        <f>I1&amp;".2"</f>
        <v>4.2</v>
      </c>
      <c r="K12" s="1028"/>
      <c r="X12" s="513">
        <v>10</v>
      </c>
    </row>
    <row customHeight="1" ht="22.5" hidden="1">
      <c r="A13" s="2419" t="s">
        <v>819</v>
      </c>
      <c r="D13" s="955" t="s">
        <v>106</v>
      </c>
      <c r="E13" s="281" t="s">
        <v>820</v>
      </c>
      <c r="F13" s="662" t="s">
        <v>821</v>
      </c>
      <c r="G13" s="559"/>
      <c r="H13" s="663"/>
      <c r="I13" s="559"/>
      <c r="J13" s="663"/>
      <c r="K13" s="291" t="s">
        <v>822</v>
      </c>
      <c r="L13" s="722"/>
      <c r="X13" s="507">
        <v>0</v>
      </c>
    </row>
    <row customHeight="1" ht="22.5" hidden="1">
      <c r="A14" s="2419"/>
      <c r="D14" s="541" t="s">
        <v>107</v>
      </c>
      <c r="E14" s="281" t="s">
        <v>823</v>
      </c>
      <c r="F14" s="662" t="s">
        <v>824</v>
      </c>
      <c r="G14" s="559"/>
      <c r="H14" s="664"/>
      <c r="I14" s="559"/>
      <c r="J14" s="664"/>
      <c r="K14" s="291" t="s">
        <v>825</v>
      </c>
      <c r="L14" s="722"/>
      <c r="X14" s="507">
        <v>0</v>
      </c>
    </row>
    <row s="1637" customFormat="1" customHeight="1" ht="78.75" hidden="1">
      <c r="A15" s="2419"/>
      <c r="B15" s="513"/>
      <c r="D15" s="955" t="s">
        <v>90</v>
      </c>
      <c r="E15" s="709" t="s">
        <v>826</v>
      </c>
      <c r="F15" s="952" t="s">
        <v>301</v>
      </c>
      <c r="G15" s="952" t="s">
        <v>301</v>
      </c>
      <c r="H15" s="108"/>
      <c r="I15" s="952" t="s">
        <v>301</v>
      </c>
      <c r="J15" s="108"/>
      <c r="K15" s="291" t="s">
        <v>827</v>
      </c>
      <c r="L15" s="722"/>
      <c r="X15" s="760">
        <v>0</v>
      </c>
    </row>
    <row s="1637" customFormat="1" customHeight="1" ht="22.5" hidden="1">
      <c r="A16" s="2419"/>
      <c r="B16" s="513"/>
      <c r="D16" s="955" t="s">
        <v>319</v>
      </c>
      <c r="E16" s="956" t="s">
        <v>828</v>
      </c>
      <c r="F16" s="952" t="s">
        <v>829</v>
      </c>
      <c r="G16" s="819"/>
      <c r="H16" s="108"/>
      <c r="I16" s="819"/>
      <c r="J16" s="108"/>
      <c r="K16" s="291"/>
      <c r="L16" s="722"/>
      <c r="X16" s="760">
        <v>0</v>
      </c>
    </row>
    <row s="1637" customFormat="1" customHeight="1" ht="22.5" hidden="1">
      <c r="A17" s="2419"/>
      <c r="B17" s="513"/>
      <c r="D17" s="955" t="s">
        <v>327</v>
      </c>
      <c r="E17" s="956" t="s">
        <v>830</v>
      </c>
      <c r="F17" s="952" t="s">
        <v>831</v>
      </c>
      <c r="G17" s="819"/>
      <c r="H17" s="108"/>
      <c r="I17" s="819"/>
      <c r="J17" s="108"/>
      <c r="K17" s="291"/>
      <c r="L17" s="722"/>
      <c r="X17" s="760">
        <v>0</v>
      </c>
    </row>
    <row s="1637" customFormat="1" customHeight="1" ht="33.75" hidden="1">
      <c r="A18" s="2419"/>
      <c r="B18" s="513"/>
      <c r="D18" s="955" t="s">
        <v>329</v>
      </c>
      <c r="E18" s="956" t="s">
        <v>832</v>
      </c>
      <c r="F18" s="952" t="s">
        <v>564</v>
      </c>
      <c r="G18" s="682"/>
      <c r="H18" s="108"/>
      <c r="I18" s="682"/>
      <c r="J18" s="108"/>
      <c r="K18" s="291"/>
      <c r="L18" s="722"/>
      <c r="X18" s="760">
        <v>0</v>
      </c>
    </row>
    <row customHeight="1" ht="101.25" hidden="1">
      <c r="A19" s="2419"/>
      <c r="D19" s="955" t="s">
        <v>91</v>
      </c>
      <c r="E19" s="281" t="s">
        <v>833</v>
      </c>
      <c r="F19" s="662" t="s">
        <v>539</v>
      </c>
      <c r="G19" s="665"/>
      <c r="H19" s="664"/>
      <c r="I19" s="957"/>
      <c r="J19" s="664"/>
      <c r="K19" s="291" t="s">
        <v>834</v>
      </c>
      <c r="L19" s="722"/>
      <c r="X19" s="507">
        <v>0</v>
      </c>
    </row>
    <row s="1637" customFormat="1" customHeight="1" ht="18.75" hidden="1">
      <c r="A20" s="2419"/>
      <c r="C20" s="958"/>
      <c r="D20" s="955" t="s">
        <v>753</v>
      </c>
      <c r="E20" s="956" t="s">
        <v>835</v>
      </c>
      <c r="F20" s="952" t="s">
        <v>301</v>
      </c>
      <c r="G20" s="952" t="s">
        <v>301</v>
      </c>
      <c r="H20" s="951" t="s">
        <v>301</v>
      </c>
      <c r="I20" s="952" t="s">
        <v>301</v>
      </c>
      <c r="J20" s="951" t="s">
        <v>301</v>
      </c>
      <c r="K20" s="950"/>
      <c r="L20" s="722"/>
      <c r="W20" s="677"/>
      <c r="X20" s="760">
        <v>0</v>
      </c>
    </row>
    <row s="1637" customFormat="1" customHeight="1" ht="33.75" hidden="1">
      <c r="A21" s="2419"/>
      <c r="C21" s="958"/>
      <c r="D21" s="955" t="s">
        <v>756</v>
      </c>
      <c r="E21" s="578" t="s">
        <v>836</v>
      </c>
      <c r="F21" s="952" t="s">
        <v>837</v>
      </c>
      <c r="G21" s="682"/>
      <c r="H21" s="108"/>
      <c r="I21" s="682"/>
      <c r="J21" s="108"/>
      <c r="K21" s="950"/>
      <c r="L21" s="722"/>
      <c r="W21" s="677"/>
      <c r="X21" s="760">
        <v>0</v>
      </c>
    </row>
    <row s="1637" customFormat="1" customHeight="1" ht="33.75" hidden="1">
      <c r="A22" s="2419"/>
      <c r="C22" s="958"/>
      <c r="D22" s="955" t="s">
        <v>759</v>
      </c>
      <c r="E22" s="578" t="s">
        <v>838</v>
      </c>
      <c r="F22" s="952" t="s">
        <v>839</v>
      </c>
      <c r="G22" s="682"/>
      <c r="H22" s="108"/>
      <c r="I22" s="682"/>
      <c r="J22" s="108"/>
      <c r="K22" s="950"/>
      <c r="L22" s="722"/>
      <c r="W22" s="677"/>
      <c r="X22" s="760">
        <v>0</v>
      </c>
    </row>
    <row s="1637" customFormat="1" customHeight="1" ht="22.5" hidden="1">
      <c r="A23" s="2419"/>
      <c r="C23" s="958"/>
      <c r="D23" s="955" t="s">
        <v>797</v>
      </c>
      <c r="E23" s="956" t="s">
        <v>840</v>
      </c>
      <c r="F23" s="952" t="s">
        <v>301</v>
      </c>
      <c r="G23" s="952" t="s">
        <v>301</v>
      </c>
      <c r="H23" s="951" t="s">
        <v>301</v>
      </c>
      <c r="I23" s="952" t="s">
        <v>301</v>
      </c>
      <c r="J23" s="951" t="s">
        <v>301</v>
      </c>
      <c r="K23" s="950"/>
      <c r="L23" s="722"/>
      <c r="W23" s="677"/>
      <c r="X23" s="760">
        <v>0</v>
      </c>
    </row>
    <row s="1637" customFormat="1" customHeight="1" ht="22.5" hidden="1">
      <c r="A24" s="2419"/>
      <c r="C24" s="958"/>
      <c r="D24" s="955" t="s">
        <v>841</v>
      </c>
      <c r="E24" s="578" t="s">
        <v>842</v>
      </c>
      <c r="F24" s="952" t="s">
        <v>843</v>
      </c>
      <c r="G24" s="682"/>
      <c r="H24" s="688"/>
      <c r="I24" s="682"/>
      <c r="J24" s="688"/>
      <c r="K24" s="950"/>
      <c r="L24" s="722"/>
      <c r="W24" s="677"/>
      <c r="X24" s="760">
        <v>0</v>
      </c>
    </row>
    <row s="1637" customFormat="1" customHeight="1" ht="22.5" hidden="1">
      <c r="A25" s="2419"/>
      <c r="C25" s="958"/>
      <c r="D25" s="955" t="s">
        <v>844</v>
      </c>
      <c r="E25" s="578" t="s">
        <v>845</v>
      </c>
      <c r="F25" s="952" t="s">
        <v>301</v>
      </c>
      <c r="G25" s="952" t="s">
        <v>301</v>
      </c>
      <c r="H25" s="951" t="s">
        <v>301</v>
      </c>
      <c r="I25" s="952" t="s">
        <v>301</v>
      </c>
      <c r="J25" s="951" t="s">
        <v>301</v>
      </c>
      <c r="K25" s="950"/>
      <c r="L25" s="722"/>
      <c r="W25" s="677"/>
      <c r="X25" s="760">
        <v>0</v>
      </c>
    </row>
    <row s="1637" customFormat="1" customHeight="1" ht="18.75" hidden="1">
      <c r="A26" s="2419"/>
      <c r="C26" s="958"/>
      <c r="D26" s="955" t="s">
        <v>846</v>
      </c>
      <c r="E26" s="555" t="s">
        <v>847</v>
      </c>
      <c r="F26" s="952" t="s">
        <v>848</v>
      </c>
      <c r="G26" s="682"/>
      <c r="H26" s="688"/>
      <c r="I26" s="682"/>
      <c r="J26" s="688"/>
      <c r="K26" s="950"/>
      <c r="L26" s="722"/>
      <c r="W26" s="677"/>
      <c r="X26" s="760">
        <v>0</v>
      </c>
    </row>
    <row s="1637" customFormat="1" customHeight="1" ht="18.75" hidden="1">
      <c r="A27" s="2419"/>
      <c r="C27" s="958"/>
      <c r="D27" s="955" t="s">
        <v>849</v>
      </c>
      <c r="E27" s="555" t="s">
        <v>850</v>
      </c>
      <c r="F27" s="952" t="s">
        <v>851</v>
      </c>
      <c r="G27" s="682"/>
      <c r="H27" s="688"/>
      <c r="I27" s="682"/>
      <c r="J27" s="688"/>
      <c r="K27" s="950"/>
      <c r="L27" s="722"/>
      <c r="W27" s="677"/>
      <c r="X27" s="760">
        <v>0</v>
      </c>
    </row>
    <row s="1637" customFormat="1" customHeight="1" ht="18.75" hidden="1">
      <c r="A28" s="2419"/>
      <c r="C28" s="958"/>
      <c r="D28" s="955" t="s">
        <v>852</v>
      </c>
      <c r="E28" s="578" t="s">
        <v>853</v>
      </c>
      <c r="F28" s="952" t="s">
        <v>301</v>
      </c>
      <c r="G28" s="952" t="s">
        <v>301</v>
      </c>
      <c r="H28" s="951" t="s">
        <v>301</v>
      </c>
      <c r="I28" s="952" t="s">
        <v>301</v>
      </c>
      <c r="J28" s="951" t="s">
        <v>301</v>
      </c>
      <c r="K28" s="950"/>
      <c r="L28" s="722"/>
      <c r="W28" s="677"/>
      <c r="X28" s="760">
        <v>0</v>
      </c>
    </row>
    <row s="1637" customFormat="1" customHeight="1" ht="18.75" hidden="1">
      <c r="A29" s="2419"/>
      <c r="C29" s="958"/>
      <c r="D29" s="955" t="s">
        <v>854</v>
      </c>
      <c r="E29" s="555" t="s">
        <v>847</v>
      </c>
      <c r="F29" s="952" t="s">
        <v>855</v>
      </c>
      <c r="G29" s="682"/>
      <c r="H29" s="688"/>
      <c r="I29" s="682"/>
      <c r="J29" s="688"/>
      <c r="K29" s="950"/>
      <c r="L29" s="722"/>
      <c r="W29" s="677"/>
      <c r="X29" s="760">
        <v>0</v>
      </c>
    </row>
    <row s="1637" customFormat="1" customHeight="1" ht="18.75" hidden="1">
      <c r="A30" s="2419"/>
      <c r="C30" s="958"/>
      <c r="D30" s="955" t="s">
        <v>856</v>
      </c>
      <c r="E30" s="555" t="s">
        <v>857</v>
      </c>
      <c r="F30" s="952" t="s">
        <v>858</v>
      </c>
      <c r="G30" s="682"/>
      <c r="H30" s="688"/>
      <c r="I30" s="682"/>
      <c r="J30" s="688"/>
      <c r="K30" s="950"/>
      <c r="L30" s="722"/>
      <c r="W30" s="677"/>
      <c r="X30" s="760">
        <v>0</v>
      </c>
    </row>
    <row customHeight="1" ht="126.75" hidden="1">
      <c r="A31" s="2419"/>
      <c r="D31" s="955" t="s">
        <v>108</v>
      </c>
      <c r="E31" s="281" t="s">
        <v>859</v>
      </c>
      <c r="F31" s="662" t="s">
        <v>551</v>
      </c>
      <c r="G31" s="559"/>
      <c r="H31" s="664"/>
      <c r="I31" s="559"/>
      <c r="J31" s="664"/>
      <c r="K31" s="291" t="s">
        <v>860</v>
      </c>
      <c r="L31" s="722"/>
      <c r="X31" s="507">
        <v>0</v>
      </c>
    </row>
    <row customHeight="1" ht="56.25" hidden="1">
      <c r="A32" s="2419"/>
      <c r="D32" s="955" t="s">
        <v>92</v>
      </c>
      <c r="E32" s="281" t="s">
        <v>861</v>
      </c>
      <c r="F32" s="541" t="s">
        <v>831</v>
      </c>
      <c r="G32" s="559"/>
      <c r="H32" s="664"/>
      <c r="I32" s="559"/>
      <c r="J32" s="664"/>
      <c r="K32" s="291" t="s">
        <v>862</v>
      </c>
      <c r="L32" s="722"/>
      <c r="X32" s="507">
        <v>0</v>
      </c>
    </row>
    <row customHeight="1" ht="11.25" hidden="1">
      <c r="A33" s="2419"/>
      <c r="E33" s="666"/>
      <c r="F33" s="183"/>
      <c r="G33" s="183"/>
      <c r="H33" s="183"/>
      <c r="I33" s="183"/>
      <c r="J33" s="183"/>
      <c r="K33" s="183"/>
      <c r="X33" s="507">
        <v>0</v>
      </c>
    </row>
    <row customHeight="1" ht="12.75" hidden="1">
      <c r="A34" s="2419"/>
      <c r="D34" s="67">
        <v>1</v>
      </c>
      <c r="E34" s="337" t="s">
        <v>863</v>
      </c>
      <c r="X34" s="507">
        <v>0</v>
      </c>
    </row>
    <row customHeight="1" ht="11.25" hidden="1">
      <c r="A35" s="2419"/>
      <c r="D35" s="371"/>
      <c r="E35" s="337" t="s">
        <v>864</v>
      </c>
      <c r="X35" s="507">
        <v>0</v>
      </c>
    </row>
    <row s="1637" customFormat="1" customHeight="1" ht="11.549999999999999">
      <c r="A36" s="1035"/>
      <c r="B36" s="520"/>
      <c r="D36" s="1036"/>
      <c r="E36" s="1037"/>
      <c r="X36" s="511">
        <v>11</v>
      </c>
    </row>
    <row s="1637" customFormat="1" customHeight="1" ht="22.5">
      <c r="A37" s="2419" t="s">
        <v>865</v>
      </c>
      <c r="B37" s="513"/>
      <c r="D37" s="955">
        <v>1</v>
      </c>
      <c r="E37" s="709" t="s">
        <v>866</v>
      </c>
      <c r="F37" s="662" t="s">
        <v>821</v>
      </c>
      <c r="G37" s="559"/>
      <c r="H37" s="521"/>
      <c r="I37" s="559"/>
      <c r="J37" s="521"/>
      <c r="K37" s="291" t="s">
        <v>867</v>
      </c>
      <c r="X37" s="760">
        <v>0</v>
      </c>
    </row>
    <row s="1637" customFormat="1" customHeight="1" ht="22.5">
      <c r="A38" s="2419"/>
      <c r="B38" s="513"/>
      <c r="D38" s="671" t="s">
        <v>107</v>
      </c>
      <c r="E38" s="1034" t="s">
        <v>868</v>
      </c>
      <c r="F38" s="1038" t="s">
        <v>539</v>
      </c>
      <c r="G38" s="1038" t="s">
        <v>539</v>
      </c>
      <c r="H38" s="1032"/>
      <c r="I38" s="1038" t="s">
        <v>539</v>
      </c>
      <c r="J38" s="1032"/>
      <c r="K38" s="1033"/>
      <c r="X38" s="760">
        <v>0</v>
      </c>
    </row>
    <row s="1637" customFormat="1" customHeight="1" ht="33.75">
      <c r="A39" s="2419"/>
      <c r="B39" s="513"/>
      <c r="D39" s="667" t="s">
        <v>705</v>
      </c>
      <c r="E39" s="725" t="s">
        <v>869</v>
      </c>
      <c r="F39" s="662" t="s">
        <v>870</v>
      </c>
      <c r="G39" s="670"/>
      <c r="H39" s="1025"/>
      <c r="I39" s="670"/>
      <c r="J39" s="1025"/>
      <c r="K39" s="291" t="s">
        <v>871</v>
      </c>
      <c r="X39" s="760">
        <v>0</v>
      </c>
    </row>
    <row s="1637" customFormat="1" customHeight="1" ht="33.75">
      <c r="A40" s="2419"/>
      <c r="B40" s="513"/>
      <c r="D40" s="667" t="s">
        <v>708</v>
      </c>
      <c r="E40" s="725" t="s">
        <v>872</v>
      </c>
      <c r="F40" s="1029" t="s">
        <v>873</v>
      </c>
      <c r="G40" s="743"/>
      <c r="H40" s="1025"/>
      <c r="I40" s="743"/>
      <c r="J40" s="1025"/>
      <c r="K40" s="291" t="s">
        <v>874</v>
      </c>
      <c r="X40" s="760">
        <v>0</v>
      </c>
    </row>
    <row s="1637" customFormat="1" customHeight="1" ht="22.5">
      <c r="A41" s="2419"/>
      <c r="B41" s="513"/>
      <c r="D41" s="667" t="s">
        <v>90</v>
      </c>
      <c r="E41" s="724" t="s">
        <v>875</v>
      </c>
      <c r="F41" s="662" t="s">
        <v>539</v>
      </c>
      <c r="G41" s="662" t="s">
        <v>539</v>
      </c>
      <c r="H41" s="1026"/>
      <c r="I41" s="662" t="s">
        <v>539</v>
      </c>
      <c r="J41" s="1026"/>
      <c r="K41" s="304"/>
      <c r="X41" s="760">
        <v>0</v>
      </c>
    </row>
    <row s="1637" customFormat="1" customHeight="1" ht="45">
      <c r="A42" s="2419"/>
      <c r="B42" s="513"/>
      <c r="D42" s="667" t="s">
        <v>319</v>
      </c>
      <c r="E42" s="725" t="s">
        <v>876</v>
      </c>
      <c r="F42" s="662" t="s">
        <v>551</v>
      </c>
      <c r="G42" s="559"/>
      <c r="H42" s="1026"/>
      <c r="I42" s="559"/>
      <c r="J42" s="1026"/>
      <c r="K42" s="304" t="s">
        <v>877</v>
      </c>
      <c r="X42" s="760">
        <v>0</v>
      </c>
    </row>
    <row s="1637" customFormat="1" customHeight="1" ht="45">
      <c r="A43" s="2419"/>
      <c r="B43" s="513"/>
      <c r="D43" s="667" t="s">
        <v>327</v>
      </c>
      <c r="E43" s="669" t="s">
        <v>878</v>
      </c>
      <c r="F43" s="1030" t="s">
        <v>551</v>
      </c>
      <c r="G43" s="744"/>
      <c r="H43" s="1025"/>
      <c r="I43" s="744"/>
      <c r="J43" s="1025"/>
      <c r="K43" s="304" t="s">
        <v>879</v>
      </c>
      <c r="X43" s="760">
        <v>0</v>
      </c>
    </row>
    <row s="1637" customFormat="1" customHeight="1" ht="11.25">
      <c r="A44" s="2419"/>
      <c r="B44" s="513"/>
      <c r="D44" s="667" t="s">
        <v>91</v>
      </c>
      <c r="E44" s="668" t="s">
        <v>880</v>
      </c>
      <c r="F44" s="662" t="s">
        <v>870</v>
      </c>
      <c r="G44" s="670"/>
      <c r="H44" s="1025"/>
      <c r="I44" s="670"/>
      <c r="J44" s="1025"/>
      <c r="K44" s="291"/>
      <c r="X44" s="760">
        <v>0</v>
      </c>
    </row>
    <row s="1637" customFormat="1" customHeight="1" ht="11.25">
      <c r="A45" s="2419"/>
      <c r="B45" s="513"/>
      <c r="D45" s="667" t="s">
        <v>753</v>
      </c>
      <c r="E45" s="669" t="s">
        <v>881</v>
      </c>
      <c r="F45" s="662" t="s">
        <v>870</v>
      </c>
      <c r="G45" s="670"/>
      <c r="H45" s="1025"/>
      <c r="I45" s="670"/>
      <c r="J45" s="1025"/>
      <c r="K45" s="291"/>
      <c r="X45" s="760">
        <v>0</v>
      </c>
    </row>
    <row s="1637" customFormat="1" customHeight="1" ht="11.25">
      <c r="A46" s="2419"/>
      <c r="B46" s="513"/>
      <c r="D46" s="667" t="s">
        <v>797</v>
      </c>
      <c r="E46" s="669" t="s">
        <v>882</v>
      </c>
      <c r="F46" s="662" t="s">
        <v>870</v>
      </c>
      <c r="G46" s="670"/>
      <c r="H46" s="1025"/>
      <c r="I46" s="670"/>
      <c r="J46" s="1025"/>
      <c r="K46" s="291"/>
      <c r="X46" s="760">
        <v>0</v>
      </c>
    </row>
    <row s="1637" customFormat="1" customHeight="1" ht="11.25">
      <c r="A47" s="2419"/>
      <c r="B47" s="513"/>
      <c r="D47" s="667" t="s">
        <v>800</v>
      </c>
      <c r="E47" s="669" t="s">
        <v>883</v>
      </c>
      <c r="F47" s="662" t="s">
        <v>870</v>
      </c>
      <c r="G47" s="670"/>
      <c r="H47" s="1025"/>
      <c r="I47" s="670"/>
      <c r="J47" s="1025"/>
      <c r="K47" s="291"/>
      <c r="X47" s="760">
        <v>0</v>
      </c>
    </row>
    <row s="1637" customFormat="1" customHeight="1" ht="11.25">
      <c r="A48" s="2419"/>
      <c r="B48" s="513"/>
      <c r="D48" s="667" t="s">
        <v>884</v>
      </c>
      <c r="E48" s="673" t="s">
        <v>885</v>
      </c>
      <c r="F48" s="662" t="s">
        <v>870</v>
      </c>
      <c r="G48" s="670"/>
      <c r="H48" s="1025"/>
      <c r="I48" s="670"/>
      <c r="J48" s="1025"/>
      <c r="K48" s="291"/>
      <c r="X48" s="760">
        <v>0</v>
      </c>
    </row>
    <row s="1637" customFormat="1" customHeight="1" ht="11.25">
      <c r="A49" s="2419"/>
      <c r="B49" s="513"/>
      <c r="D49" s="667" t="s">
        <v>886</v>
      </c>
      <c r="E49" s="673" t="s">
        <v>887</v>
      </c>
      <c r="F49" s="662" t="s">
        <v>870</v>
      </c>
      <c r="G49" s="670"/>
      <c r="H49" s="1025"/>
      <c r="I49" s="670"/>
      <c r="J49" s="1025"/>
      <c r="K49" s="291"/>
      <c r="X49" s="760">
        <v>0</v>
      </c>
    </row>
    <row s="1637" customFormat="1" customHeight="1" ht="11.25">
      <c r="A50" s="2419"/>
      <c r="B50" s="513"/>
      <c r="D50" s="667" t="s">
        <v>888</v>
      </c>
      <c r="E50" s="669" t="s">
        <v>889</v>
      </c>
      <c r="F50" s="662" t="s">
        <v>870</v>
      </c>
      <c r="G50" s="670"/>
      <c r="H50" s="1025"/>
      <c r="I50" s="670"/>
      <c r="J50" s="1025"/>
      <c r="K50" s="291"/>
      <c r="X50" s="760">
        <v>0</v>
      </c>
    </row>
    <row s="1637" customFormat="1" customHeight="1" ht="11.25">
      <c r="A51" s="2419"/>
      <c r="B51" s="513"/>
      <c r="D51" s="667" t="s">
        <v>890</v>
      </c>
      <c r="E51" s="669" t="s">
        <v>891</v>
      </c>
      <c r="F51" s="662" t="s">
        <v>870</v>
      </c>
      <c r="G51" s="670"/>
      <c r="H51" s="1025"/>
      <c r="I51" s="670"/>
      <c r="J51" s="1025"/>
      <c r="K51" s="291"/>
      <c r="X51" s="760">
        <v>0</v>
      </c>
    </row>
    <row s="1637" customFormat="1" customHeight="1" ht="45">
      <c r="A52" s="2419"/>
      <c r="B52" s="513"/>
      <c r="D52" s="667" t="s">
        <v>108</v>
      </c>
      <c r="E52" s="668" t="s">
        <v>892</v>
      </c>
      <c r="F52" s="662" t="s">
        <v>870</v>
      </c>
      <c r="G52" s="670"/>
      <c r="H52" s="1025"/>
      <c r="I52" s="670"/>
      <c r="J52" s="1025"/>
      <c r="K52" s="291"/>
      <c r="X52" s="760">
        <v>0</v>
      </c>
    </row>
    <row s="1637" customFormat="1" customHeight="1" ht="11.25">
      <c r="A53" s="2419"/>
      <c r="B53" s="513"/>
      <c r="D53" s="667" t="s">
        <v>308</v>
      </c>
      <c r="E53" s="669" t="s">
        <v>881</v>
      </c>
      <c r="F53" s="662" t="s">
        <v>870</v>
      </c>
      <c r="G53" s="670"/>
      <c r="H53" s="1025"/>
      <c r="I53" s="670"/>
      <c r="J53" s="1025"/>
      <c r="K53" s="291"/>
      <c r="X53" s="760">
        <v>0</v>
      </c>
    </row>
    <row s="1637" customFormat="1" customHeight="1" ht="11.25">
      <c r="A54" s="2419"/>
      <c r="B54" s="513"/>
      <c r="D54" s="667" t="s">
        <v>893</v>
      </c>
      <c r="E54" s="669" t="s">
        <v>882</v>
      </c>
      <c r="F54" s="662" t="s">
        <v>870</v>
      </c>
      <c r="G54" s="670"/>
      <c r="H54" s="1025"/>
      <c r="I54" s="670"/>
      <c r="J54" s="1025"/>
      <c r="K54" s="291"/>
      <c r="X54" s="760">
        <v>0</v>
      </c>
    </row>
    <row s="1637" customFormat="1" customHeight="1" ht="11.25">
      <c r="A55" s="2419"/>
      <c r="B55" s="513"/>
      <c r="D55" s="667" t="s">
        <v>894</v>
      </c>
      <c r="E55" s="669" t="s">
        <v>883</v>
      </c>
      <c r="F55" s="662" t="s">
        <v>870</v>
      </c>
      <c r="G55" s="670"/>
      <c r="H55" s="1025"/>
      <c r="I55" s="670"/>
      <c r="J55" s="1025"/>
      <c r="K55" s="291"/>
      <c r="X55" s="760">
        <v>0</v>
      </c>
    </row>
    <row s="1637" customFormat="1" customHeight="1" ht="11.25">
      <c r="A56" s="2419"/>
      <c r="B56" s="513"/>
      <c r="D56" s="667" t="s">
        <v>895</v>
      </c>
      <c r="E56" s="673" t="s">
        <v>885</v>
      </c>
      <c r="F56" s="662" t="s">
        <v>870</v>
      </c>
      <c r="G56" s="670"/>
      <c r="H56" s="1025"/>
      <c r="I56" s="670"/>
      <c r="J56" s="1025"/>
      <c r="K56" s="291"/>
      <c r="X56" s="760">
        <v>0</v>
      </c>
    </row>
    <row s="1637" customFormat="1" customHeight="1" ht="11.25">
      <c r="A57" s="2419"/>
      <c r="B57" s="513"/>
      <c r="D57" s="667" t="s">
        <v>896</v>
      </c>
      <c r="E57" s="673" t="s">
        <v>887</v>
      </c>
      <c r="F57" s="662" t="s">
        <v>870</v>
      </c>
      <c r="G57" s="670"/>
      <c r="H57" s="1025"/>
      <c r="I57" s="670"/>
      <c r="J57" s="1025"/>
      <c r="K57" s="291"/>
      <c r="X57" s="760">
        <v>0</v>
      </c>
    </row>
    <row s="1637" customFormat="1" customHeight="1" ht="11.25">
      <c r="A58" s="2419"/>
      <c r="B58" s="513"/>
      <c r="D58" s="667" t="s">
        <v>897</v>
      </c>
      <c r="E58" s="669" t="s">
        <v>889</v>
      </c>
      <c r="F58" s="662" t="s">
        <v>870</v>
      </c>
      <c r="G58" s="670"/>
      <c r="H58" s="1025"/>
      <c r="I58" s="670"/>
      <c r="J58" s="1025"/>
      <c r="K58" s="291"/>
      <c r="X58" s="760">
        <v>0</v>
      </c>
    </row>
    <row s="1637" customFormat="1" customHeight="1" ht="11.25">
      <c r="A59" s="2419"/>
      <c r="B59" s="513"/>
      <c r="D59" s="667" t="s">
        <v>898</v>
      </c>
      <c r="E59" s="669" t="s">
        <v>891</v>
      </c>
      <c r="F59" s="662" t="s">
        <v>870</v>
      </c>
      <c r="G59" s="670"/>
      <c r="H59" s="1025"/>
      <c r="I59" s="670"/>
      <c r="J59" s="1025"/>
      <c r="K59" s="291"/>
      <c r="X59" s="760">
        <v>0</v>
      </c>
    </row>
    <row s="1637" customFormat="1" customHeight="1" ht="33.75">
      <c r="A60" s="2419"/>
      <c r="B60" s="513"/>
      <c r="D60" s="667" t="s">
        <v>92</v>
      </c>
      <c r="E60" s="668" t="s">
        <v>899</v>
      </c>
      <c r="F60" s="723" t="s">
        <v>551</v>
      </c>
      <c r="G60" s="744"/>
      <c r="H60" s="1025"/>
      <c r="I60" s="744"/>
      <c r="J60" s="1025"/>
      <c r="K60" s="304" t="s">
        <v>900</v>
      </c>
      <c r="X60" s="760">
        <v>0</v>
      </c>
    </row>
    <row s="1637" customFormat="1" customHeight="1" ht="33.75">
      <c r="A61" s="2419"/>
      <c r="B61" s="513"/>
      <c r="D61" s="667" t="s">
        <v>93</v>
      </c>
      <c r="E61" s="668" t="s">
        <v>901</v>
      </c>
      <c r="F61" s="728" t="s">
        <v>831</v>
      </c>
      <c r="G61" s="670"/>
      <c r="H61" s="1025"/>
      <c r="I61" s="670"/>
      <c r="J61" s="1025"/>
      <c r="K61" s="291"/>
      <c r="X61" s="760">
        <v>0</v>
      </c>
    </row>
    <row s="1637" customFormat="1" customHeight="1" ht="22.5">
      <c r="A62" s="2419"/>
      <c r="B62" s="513" t="s">
        <v>573</v>
      </c>
      <c r="D62" s="667" t="s">
        <v>109</v>
      </c>
      <c r="E62" s="668" t="s">
        <v>902</v>
      </c>
      <c r="F62" s="728" t="s">
        <v>301</v>
      </c>
      <c r="G62" s="384"/>
      <c r="H62" s="1025"/>
      <c r="I62" s="384"/>
      <c r="J62" s="1025"/>
      <c r="K62" s="291" t="s">
        <v>624</v>
      </c>
      <c r="X62" s="760">
        <v>0</v>
      </c>
    </row>
    <row s="1637" customFormat="1" customHeight="1" ht="45">
      <c r="A63" s="2419"/>
      <c r="B63" s="513" t="s">
        <v>573</v>
      </c>
      <c r="D63" s="667" t="s">
        <v>903</v>
      </c>
      <c r="E63" s="669" t="s">
        <v>904</v>
      </c>
      <c r="F63" s="723" t="s">
        <v>301</v>
      </c>
      <c r="G63" s="384"/>
      <c r="H63" s="1025"/>
      <c r="I63" s="384"/>
      <c r="J63" s="1025"/>
      <c r="K63" s="291" t="s">
        <v>624</v>
      </c>
      <c r="X63" s="760">
        <v>0</v>
      </c>
    </row>
    <row s="1637" customFormat="1" customHeight="1" ht="11.549999999999999">
      <c r="A64" s="1035"/>
      <c r="B64" s="520"/>
      <c r="D64" s="1036"/>
      <c r="E64" s="1037"/>
      <c r="X64" s="511">
        <v>11</v>
      </c>
    </row>
    <row s="1637" customFormat="1" customHeight="1" ht="22.5" hidden="1">
      <c r="A65" s="2419" t="s">
        <v>905</v>
      </c>
      <c r="B65" s="513"/>
      <c r="D65" s="667">
        <v>1</v>
      </c>
      <c r="E65" s="746" t="s">
        <v>906</v>
      </c>
      <c r="F65" s="742" t="s">
        <v>821</v>
      </c>
      <c r="G65" s="743"/>
      <c r="H65" s="1031"/>
      <c r="I65" s="743"/>
      <c r="J65" s="1031"/>
      <c r="K65" s="303" t="s">
        <v>907</v>
      </c>
      <c r="X65" s="760">
        <v>0</v>
      </c>
    </row>
    <row s="1637" customFormat="1" customHeight="1" ht="56.25" hidden="1">
      <c r="A66" s="2419"/>
      <c r="B66" s="513"/>
      <c r="D66" s="745" t="s">
        <v>107</v>
      </c>
      <c r="E66" s="709" t="s">
        <v>908</v>
      </c>
      <c r="F66" s="662" t="s">
        <v>539</v>
      </c>
      <c r="G66" s="662" t="s">
        <v>539</v>
      </c>
      <c r="H66" s="521"/>
      <c r="I66" s="662" t="s">
        <v>539</v>
      </c>
      <c r="J66" s="521"/>
      <c r="K66" s="291"/>
      <c r="X66" s="760">
        <v>0</v>
      </c>
    </row>
    <row s="1637" customFormat="1" customHeight="1" ht="33.75" hidden="1">
      <c r="A67" s="2419"/>
      <c r="B67" s="513"/>
      <c r="D67" s="745" t="s">
        <v>702</v>
      </c>
      <c r="E67" s="956" t="s">
        <v>909</v>
      </c>
      <c r="F67" s="662" t="s">
        <v>873</v>
      </c>
      <c r="G67" s="729"/>
      <c r="H67" s="521"/>
      <c r="I67" s="729"/>
      <c r="J67" s="521"/>
      <c r="K67" s="291"/>
      <c r="X67" s="760">
        <v>0</v>
      </c>
    </row>
    <row s="1637" customFormat="1" customHeight="1" ht="22.5" hidden="1">
      <c r="A68" s="2419"/>
      <c r="B68" s="513"/>
      <c r="D68" s="745" t="s">
        <v>302</v>
      </c>
      <c r="E68" s="956" t="s">
        <v>910</v>
      </c>
      <c r="F68" s="662" t="s">
        <v>873</v>
      </c>
      <c r="G68" s="729"/>
      <c r="H68" s="521"/>
      <c r="I68" s="729"/>
      <c r="J68" s="521"/>
      <c r="K68" s="291"/>
      <c r="X68" s="760">
        <v>0</v>
      </c>
    </row>
    <row s="1637" customFormat="1" customHeight="1" ht="22.5" hidden="1">
      <c r="A69" s="2419"/>
      <c r="B69" s="513"/>
      <c r="D69" s="745" t="s">
        <v>305</v>
      </c>
      <c r="E69" s="956" t="s">
        <v>911</v>
      </c>
      <c r="F69" s="723" t="s">
        <v>551</v>
      </c>
      <c r="G69" s="744"/>
      <c r="H69" s="521"/>
      <c r="I69" s="744"/>
      <c r="J69" s="521"/>
      <c r="K69" s="291"/>
      <c r="X69" s="760">
        <v>0</v>
      </c>
    </row>
    <row s="1637" customFormat="1" customHeight="1" ht="22.5" hidden="1">
      <c r="A70" s="2419"/>
      <c r="B70" s="513"/>
      <c r="D70" s="745" t="s">
        <v>722</v>
      </c>
      <c r="E70" s="956" t="s">
        <v>912</v>
      </c>
      <c r="F70" s="723" t="s">
        <v>551</v>
      </c>
      <c r="G70" s="744"/>
      <c r="H70" s="521"/>
      <c r="I70" s="744"/>
      <c r="J70" s="521"/>
      <c r="K70" s="291"/>
      <c r="X70" s="760">
        <v>0</v>
      </c>
    </row>
    <row s="1637" customFormat="1" customHeight="1" ht="22.5" hidden="1">
      <c r="A71" s="2419"/>
      <c r="B71" s="513"/>
      <c r="D71" s="667" t="s">
        <v>90</v>
      </c>
      <c r="E71" s="668" t="s">
        <v>913</v>
      </c>
      <c r="F71" s="662" t="s">
        <v>873</v>
      </c>
      <c r="G71" s="559"/>
      <c r="H71" s="1032"/>
      <c r="I71" s="559"/>
      <c r="J71" s="1032"/>
      <c r="K71" s="304"/>
      <c r="X71" s="760">
        <v>0</v>
      </c>
    </row>
    <row s="1637" customFormat="1" customHeight="1" ht="56.25" hidden="1">
      <c r="A72" s="2419"/>
      <c r="B72" s="513"/>
      <c r="D72" s="667" t="s">
        <v>91</v>
      </c>
      <c r="E72" s="668" t="s">
        <v>914</v>
      </c>
      <c r="F72" s="723" t="s">
        <v>551</v>
      </c>
      <c r="G72" s="744"/>
      <c r="H72" s="1025"/>
      <c r="I72" s="744"/>
      <c r="J72" s="1025"/>
      <c r="K72" s="304"/>
      <c r="X72" s="760">
        <v>0</v>
      </c>
    </row>
    <row s="1637" customFormat="1" customHeight="1" ht="33.75" hidden="1">
      <c r="A73" s="2419"/>
      <c r="B73" s="513"/>
      <c r="D73" s="667" t="s">
        <v>108</v>
      </c>
      <c r="E73" s="668" t="s">
        <v>915</v>
      </c>
      <c r="F73" s="728" t="s">
        <v>831</v>
      </c>
      <c r="G73" s="670"/>
      <c r="H73" s="1025"/>
      <c r="I73" s="670"/>
      <c r="J73" s="1025"/>
      <c r="K73" s="291"/>
      <c r="X73" s="760">
        <v>0</v>
      </c>
    </row>
    <row s="1637" customFormat="1" customHeight="1" ht="22.5" hidden="1">
      <c r="A74" s="2419"/>
      <c r="B74" s="513" t="s">
        <v>573</v>
      </c>
      <c r="D74" s="667" t="s">
        <v>92</v>
      </c>
      <c r="E74" s="668" t="s">
        <v>916</v>
      </c>
      <c r="F74" s="728" t="s">
        <v>301</v>
      </c>
      <c r="G74" s="384"/>
      <c r="H74" s="1025"/>
      <c r="I74" s="384"/>
      <c r="J74" s="1025"/>
      <c r="K74" s="291" t="s">
        <v>624</v>
      </c>
      <c r="X74" s="760">
        <v>0</v>
      </c>
    </row>
    <row s="1637" customFormat="1" customHeight="1" ht="45" hidden="1">
      <c r="A75" s="2419"/>
      <c r="B75" s="513" t="s">
        <v>573</v>
      </c>
      <c r="D75" s="667" t="s">
        <v>645</v>
      </c>
      <c r="E75" s="669" t="s">
        <v>917</v>
      </c>
      <c r="F75" s="723" t="s">
        <v>301</v>
      </c>
      <c r="G75" s="384"/>
      <c r="H75" s="1025"/>
      <c r="I75" s="384"/>
      <c r="J75" s="1025"/>
      <c r="K75" s="291" t="s">
        <v>624</v>
      </c>
      <c r="X75" s="760">
        <v>0</v>
      </c>
    </row>
    <row s="1637" customFormat="1" customHeight="1" ht="11.549999999999999">
      <c r="A76" s="1035"/>
      <c r="B76" s="520"/>
      <c r="D76" s="1036"/>
      <c r="E76" s="1037"/>
      <c r="X76" s="511">
        <v>11</v>
      </c>
    </row>
    <row s="1637" customFormat="1" customHeight="1" ht="11.25" hidden="1">
      <c r="A77" s="2419" t="s">
        <v>918</v>
      </c>
      <c r="B77" s="513"/>
      <c r="D77" s="667">
        <v>1</v>
      </c>
      <c r="E77" s="668" t="s">
        <v>919</v>
      </c>
      <c r="F77" s="723" t="s">
        <v>821</v>
      </c>
      <c r="G77" s="726"/>
      <c r="H77" s="1025"/>
      <c r="I77" s="726"/>
      <c r="J77" s="1025"/>
      <c r="K77" s="291" t="s">
        <v>920</v>
      </c>
      <c r="X77" s="760">
        <v>0</v>
      </c>
    </row>
    <row s="1637" customFormat="1" customHeight="1" ht="11.25" hidden="1">
      <c r="A78" s="2419"/>
      <c r="B78" s="513"/>
      <c r="D78" s="667" t="s">
        <v>107</v>
      </c>
      <c r="E78" s="668" t="s">
        <v>921</v>
      </c>
      <c r="F78" s="723" t="s">
        <v>821</v>
      </c>
      <c r="G78" s="726"/>
      <c r="H78" s="1025"/>
      <c r="I78" s="726"/>
      <c r="J78" s="1025"/>
      <c r="K78" s="291" t="s">
        <v>922</v>
      </c>
      <c r="X78" s="760">
        <v>0</v>
      </c>
    </row>
    <row s="1637" customFormat="1" customHeight="1" ht="22.5" hidden="1">
      <c r="A79" s="2419"/>
      <c r="B79" s="513"/>
      <c r="D79" s="667" t="s">
        <v>90</v>
      </c>
      <c r="E79" s="724" t="s">
        <v>923</v>
      </c>
      <c r="F79" s="662" t="s">
        <v>870</v>
      </c>
      <c r="G79" s="726"/>
      <c r="H79" s="1025"/>
      <c r="I79" s="726"/>
      <c r="J79" s="1025"/>
      <c r="K79" s="291" t="s">
        <v>924</v>
      </c>
      <c r="X79" s="760">
        <v>0</v>
      </c>
    </row>
    <row s="1637" customFormat="1" customHeight="1" ht="11.25" hidden="1">
      <c r="A80" s="2419"/>
      <c r="B80" s="513"/>
      <c r="D80" s="667" t="s">
        <v>319</v>
      </c>
      <c r="E80" s="725" t="s">
        <v>925</v>
      </c>
      <c r="F80" s="662" t="s">
        <v>870</v>
      </c>
      <c r="G80" s="726"/>
      <c r="H80" s="1025"/>
      <c r="I80" s="726"/>
      <c r="J80" s="1025"/>
      <c r="K80" s="291"/>
      <c r="X80" s="760">
        <v>0</v>
      </c>
    </row>
    <row s="1637" customFormat="1" customHeight="1" ht="11.25" hidden="1">
      <c r="A81" s="2419"/>
      <c r="B81" s="513"/>
      <c r="D81" s="667" t="s">
        <v>327</v>
      </c>
      <c r="E81" s="725" t="s">
        <v>926</v>
      </c>
      <c r="F81" s="662" t="s">
        <v>870</v>
      </c>
      <c r="G81" s="726"/>
      <c r="H81" s="1025"/>
      <c r="I81" s="726"/>
      <c r="J81" s="1025"/>
      <c r="K81" s="291"/>
      <c r="X81" s="760">
        <v>0</v>
      </c>
    </row>
    <row s="1637" customFormat="1" customHeight="1" ht="11.25" hidden="1">
      <c r="A82" s="2419"/>
      <c r="B82" s="513"/>
      <c r="D82" s="667" t="s">
        <v>329</v>
      </c>
      <c r="E82" s="725" t="s">
        <v>927</v>
      </c>
      <c r="F82" s="662" t="s">
        <v>870</v>
      </c>
      <c r="G82" s="726"/>
      <c r="H82" s="1025"/>
      <c r="I82" s="726"/>
      <c r="J82" s="1025"/>
      <c r="K82" s="291"/>
      <c r="X82" s="760">
        <v>0</v>
      </c>
    </row>
    <row s="1637" customFormat="1" customHeight="1" ht="11.25" hidden="1">
      <c r="A83" s="2419"/>
      <c r="B83" s="513"/>
      <c r="D83" s="667" t="s">
        <v>331</v>
      </c>
      <c r="E83" s="725" t="s">
        <v>928</v>
      </c>
      <c r="F83" s="662" t="s">
        <v>870</v>
      </c>
      <c r="G83" s="726"/>
      <c r="H83" s="1025"/>
      <c r="I83" s="726"/>
      <c r="J83" s="1025"/>
      <c r="K83" s="291"/>
      <c r="X83" s="760">
        <v>0</v>
      </c>
    </row>
    <row s="1637" customFormat="1" customHeight="1" ht="11.25" hidden="1">
      <c r="A84" s="2419"/>
      <c r="B84" s="513"/>
      <c r="D84" s="667" t="s">
        <v>929</v>
      </c>
      <c r="E84" s="725" t="s">
        <v>930</v>
      </c>
      <c r="F84" s="662" t="s">
        <v>870</v>
      </c>
      <c r="G84" s="726"/>
      <c r="H84" s="1025"/>
      <c r="I84" s="726"/>
      <c r="J84" s="1025"/>
      <c r="K84" s="291"/>
      <c r="X84" s="760">
        <v>0</v>
      </c>
    </row>
    <row s="1637" customFormat="1" customHeight="1" ht="11.25" hidden="1">
      <c r="A85" s="2419"/>
      <c r="B85" s="513"/>
      <c r="D85" s="667" t="s">
        <v>931</v>
      </c>
      <c r="E85" s="725" t="s">
        <v>932</v>
      </c>
      <c r="F85" s="662" t="s">
        <v>870</v>
      </c>
      <c r="G85" s="726"/>
      <c r="H85" s="1025"/>
      <c r="I85" s="726"/>
      <c r="J85" s="1025"/>
      <c r="K85" s="291"/>
      <c r="X85" s="760">
        <v>0</v>
      </c>
    </row>
    <row s="1637" customFormat="1" customHeight="1" ht="11.25" hidden="1">
      <c r="A86" s="2419"/>
      <c r="B86" s="513"/>
      <c r="D86" s="667" t="s">
        <v>933</v>
      </c>
      <c r="E86" s="725" t="s">
        <v>934</v>
      </c>
      <c r="F86" s="662" t="s">
        <v>870</v>
      </c>
      <c r="G86" s="726"/>
      <c r="H86" s="1025"/>
      <c r="I86" s="726"/>
      <c r="J86" s="1025"/>
      <c r="K86" s="291"/>
      <c r="X86" s="760">
        <v>0</v>
      </c>
    </row>
    <row s="1637" customFormat="1" customHeight="1" ht="45" hidden="1">
      <c r="A87" s="2419"/>
      <c r="B87" s="513"/>
      <c r="D87" s="667" t="s">
        <v>91</v>
      </c>
      <c r="E87" s="668" t="s">
        <v>935</v>
      </c>
      <c r="F87" s="662" t="s">
        <v>870</v>
      </c>
      <c r="G87" s="726"/>
      <c r="H87" s="1025"/>
      <c r="I87" s="726"/>
      <c r="J87" s="1025"/>
      <c r="K87" s="291" t="s">
        <v>936</v>
      </c>
      <c r="X87" s="760">
        <v>0</v>
      </c>
    </row>
    <row s="1637" customFormat="1" customHeight="1" ht="11.25" hidden="1">
      <c r="A88" s="2419"/>
      <c r="B88" s="513"/>
      <c r="D88" s="667" t="s">
        <v>753</v>
      </c>
      <c r="E88" s="725" t="s">
        <v>925</v>
      </c>
      <c r="F88" s="662" t="s">
        <v>870</v>
      </c>
      <c r="G88" s="726"/>
      <c r="H88" s="1025"/>
      <c r="I88" s="726"/>
      <c r="J88" s="1025"/>
      <c r="K88" s="291"/>
      <c r="X88" s="760">
        <v>0</v>
      </c>
    </row>
    <row s="1637" customFormat="1" customHeight="1" ht="11.25" hidden="1">
      <c r="A89" s="2419"/>
      <c r="B89" s="513"/>
      <c r="D89" s="667" t="s">
        <v>797</v>
      </c>
      <c r="E89" s="725" t="s">
        <v>926</v>
      </c>
      <c r="F89" s="662" t="s">
        <v>870</v>
      </c>
      <c r="G89" s="726"/>
      <c r="H89" s="1025"/>
      <c r="I89" s="726"/>
      <c r="J89" s="1025"/>
      <c r="K89" s="291"/>
      <c r="X89" s="760">
        <v>0</v>
      </c>
    </row>
    <row s="1637" customFormat="1" customHeight="1" ht="11.25" hidden="1">
      <c r="A90" s="2419"/>
      <c r="B90" s="513"/>
      <c r="D90" s="667" t="s">
        <v>800</v>
      </c>
      <c r="E90" s="725" t="s">
        <v>927</v>
      </c>
      <c r="F90" s="662" t="s">
        <v>870</v>
      </c>
      <c r="G90" s="726"/>
      <c r="H90" s="1025"/>
      <c r="I90" s="726"/>
      <c r="J90" s="1025"/>
      <c r="K90" s="291"/>
      <c r="X90" s="760">
        <v>0</v>
      </c>
    </row>
    <row s="1637" customFormat="1" customHeight="1" ht="11.25" hidden="1">
      <c r="A91" s="2419"/>
      <c r="B91" s="513"/>
      <c r="D91" s="667" t="s">
        <v>888</v>
      </c>
      <c r="E91" s="725" t="s">
        <v>928</v>
      </c>
      <c r="F91" s="662" t="s">
        <v>870</v>
      </c>
      <c r="G91" s="726"/>
      <c r="H91" s="1025"/>
      <c r="I91" s="726"/>
      <c r="J91" s="1025"/>
      <c r="K91" s="291"/>
      <c r="X91" s="760">
        <v>0</v>
      </c>
    </row>
    <row s="1637" customFormat="1" customHeight="1" ht="11.25" hidden="1">
      <c r="A92" s="2419"/>
      <c r="B92" s="513"/>
      <c r="D92" s="667" t="s">
        <v>890</v>
      </c>
      <c r="E92" s="725" t="s">
        <v>930</v>
      </c>
      <c r="F92" s="662" t="s">
        <v>870</v>
      </c>
      <c r="G92" s="726"/>
      <c r="H92" s="1025"/>
      <c r="I92" s="726"/>
      <c r="J92" s="1025"/>
      <c r="K92" s="291"/>
      <c r="X92" s="760">
        <v>0</v>
      </c>
    </row>
    <row s="1637" customFormat="1" customHeight="1" ht="11.25" hidden="1">
      <c r="A93" s="2419"/>
      <c r="B93" s="513"/>
      <c r="D93" s="667" t="s">
        <v>937</v>
      </c>
      <c r="E93" s="725" t="s">
        <v>932</v>
      </c>
      <c r="F93" s="662" t="s">
        <v>870</v>
      </c>
      <c r="G93" s="726"/>
      <c r="H93" s="1025"/>
      <c r="I93" s="726"/>
      <c r="J93" s="1025"/>
      <c r="K93" s="291"/>
      <c r="X93" s="760">
        <v>0</v>
      </c>
    </row>
    <row s="1637" customFormat="1" customHeight="1" ht="11.25" hidden="1">
      <c r="A94" s="2419"/>
      <c r="B94" s="513"/>
      <c r="D94" s="667" t="s">
        <v>938</v>
      </c>
      <c r="E94" s="725" t="s">
        <v>934</v>
      </c>
      <c r="F94" s="662" t="s">
        <v>870</v>
      </c>
      <c r="G94" s="726"/>
      <c r="H94" s="1025"/>
      <c r="I94" s="726"/>
      <c r="J94" s="1025"/>
      <c r="K94" s="291"/>
      <c r="X94" s="760">
        <v>0</v>
      </c>
    </row>
    <row s="1637" customFormat="1" customHeight="1" ht="24.75" hidden="1">
      <c r="A95" s="2419"/>
      <c r="B95" s="513"/>
      <c r="D95" s="667" t="s">
        <v>108</v>
      </c>
      <c r="E95" s="668" t="s">
        <v>939</v>
      </c>
      <c r="F95" s="727" t="s">
        <v>551</v>
      </c>
      <c r="G95" s="729"/>
      <c r="H95" s="1025"/>
      <c r="I95" s="729"/>
      <c r="J95" s="1025"/>
      <c r="K95" s="291" t="s">
        <v>940</v>
      </c>
      <c r="X95" s="760">
        <v>0</v>
      </c>
    </row>
    <row s="1637" customFormat="1" customHeight="1" ht="33.75" hidden="1">
      <c r="A96" s="2419"/>
      <c r="B96" s="513"/>
      <c r="D96" s="667" t="s">
        <v>92</v>
      </c>
      <c r="E96" s="668" t="s">
        <v>941</v>
      </c>
      <c r="F96" s="728" t="s">
        <v>831</v>
      </c>
      <c r="G96" s="730"/>
      <c r="H96" s="1025"/>
      <c r="I96" s="730"/>
      <c r="J96" s="1025"/>
      <c r="K96" s="291"/>
      <c r="X96" s="760">
        <v>0</v>
      </c>
    </row>
    <row s="1637" customFormat="1" customHeight="1" ht="22.5" hidden="1">
      <c r="A97" s="2419"/>
      <c r="B97" s="513" t="s">
        <v>573</v>
      </c>
      <c r="D97" s="667" t="s">
        <v>93</v>
      </c>
      <c r="E97" s="668" t="s">
        <v>942</v>
      </c>
      <c r="F97" s="728" t="s">
        <v>301</v>
      </c>
      <c r="G97" s="387"/>
      <c r="H97" s="1025"/>
      <c r="I97" s="387"/>
      <c r="J97" s="1025"/>
      <c r="K97" s="291" t="s">
        <v>624</v>
      </c>
      <c r="X97" s="760">
        <v>0</v>
      </c>
    </row>
    <row s="1637" customFormat="1" customHeight="1" ht="45" hidden="1">
      <c r="A98" s="2419"/>
      <c r="B98" s="513" t="s">
        <v>573</v>
      </c>
      <c r="D98" s="667" t="s">
        <v>809</v>
      </c>
      <c r="E98" s="669" t="s">
        <v>943</v>
      </c>
      <c r="F98" s="723" t="s">
        <v>301</v>
      </c>
      <c r="G98" s="387"/>
      <c r="H98" s="1025"/>
      <c r="I98" s="387"/>
      <c r="J98" s="1025"/>
      <c r="K98" s="291" t="s">
        <v>624</v>
      </c>
      <c r="X98" s="760">
        <v>0</v>
      </c>
    </row>
    <row s="1637" customFormat="1" customHeight="1" ht="95.25" hidden="1">
      <c r="A99" s="2419"/>
      <c r="B99" s="513" t="s">
        <v>573</v>
      </c>
      <c r="D99" s="667" t="s">
        <v>109</v>
      </c>
      <c r="E99" s="668" t="s">
        <v>944</v>
      </c>
      <c r="F99" s="723" t="s">
        <v>301</v>
      </c>
      <c r="G99" s="387"/>
      <c r="H99" s="1025"/>
      <c r="I99" s="387"/>
      <c r="J99" s="1025"/>
      <c r="K99" s="291" t="s">
        <v>624</v>
      </c>
      <c r="X99" s="760">
        <v>0</v>
      </c>
    </row>
    <row s="1637" customFormat="1" customHeight="1" ht="22.5" hidden="1">
      <c r="A100" s="2419"/>
      <c r="B100" s="513" t="s">
        <v>573</v>
      </c>
      <c r="D100" s="667" t="s">
        <v>145</v>
      </c>
      <c r="E100" s="668" t="s">
        <v>945</v>
      </c>
      <c r="F100" s="723" t="s">
        <v>301</v>
      </c>
      <c r="G100" s="387"/>
      <c r="H100" s="1025"/>
      <c r="I100" s="387"/>
      <c r="J100" s="1025"/>
      <c r="K100" s="291" t="s">
        <v>624</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8773B-95E8-A348-F248-D8D02F19C1C5}"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420"/>
      <c r="C3" s="2421" t="s">
        <v>682</v>
      </c>
      <c r="D3" s="691" t="str">
        <f>B3&amp;".1"</f>
        <v>.1</v>
      </c>
      <c r="E3" s="692" t="s">
        <v>946</v>
      </c>
      <c r="F3" s="693" t="s">
        <v>301</v>
      </c>
      <c r="G3" s="688"/>
      <c r="H3" s="403"/>
      <c r="I3" s="688"/>
      <c r="J3" s="403"/>
      <c r="K3" s="291" t="s">
        <v>947</v>
      </c>
      <c r="V3" s="507">
        <v>0</v>
      </c>
    </row>
    <row customHeight="1" ht="15" hidden="1">
      <c r="A4" s="507"/>
      <c r="B4" s="2420"/>
      <c r="C4" s="2421"/>
      <c r="D4" s="691" t="str">
        <f>B3&amp;".2"</f>
        <v>.2</v>
      </c>
      <c r="E4" s="692" t="s">
        <v>948</v>
      </c>
      <c r="F4" s="693" t="s">
        <v>301</v>
      </c>
      <c r="G4" s="1739" t="s">
        <v>22</v>
      </c>
      <c r="H4" s="403"/>
      <c r="I4" s="1739" t="s">
        <v>22</v>
      </c>
      <c r="J4" s="403"/>
      <c r="K4" s="291" t="s">
        <v>949</v>
      </c>
      <c r="V4" s="507">
        <v>0</v>
      </c>
    </row>
    <row s="1368" customFormat="1" customHeight="1" ht="15" hidden="1">
      <c r="C5" s="674"/>
      <c r="U5" s="422"/>
      <c r="V5" s="419">
        <v>0</v>
      </c>
    </row>
    <row customHeight="1" ht="22.5" hidden="1">
      <c r="A6" s="507"/>
      <c r="B6" s="2420"/>
      <c r="C6" s="2421" t="s">
        <v>682</v>
      </c>
      <c r="D6" s="691" t="str">
        <f>B6&amp;".1"</f>
        <v>.1</v>
      </c>
      <c r="E6" s="692" t="s">
        <v>950</v>
      </c>
      <c r="F6" s="693" t="s">
        <v>301</v>
      </c>
      <c r="G6" s="688"/>
      <c r="H6" s="403"/>
      <c r="I6" s="688"/>
      <c r="J6" s="403"/>
      <c r="K6" s="291" t="s">
        <v>951</v>
      </c>
      <c r="V6" s="507">
        <v>0</v>
      </c>
    </row>
    <row customHeight="1" ht="15" hidden="1">
      <c r="A7" s="507"/>
      <c r="B7" s="2420"/>
      <c r="C7" s="2421"/>
      <c r="D7" s="691" t="str">
        <f>B6&amp;".2"</f>
        <v>.2</v>
      </c>
      <c r="E7" s="692" t="s">
        <v>948</v>
      </c>
      <c r="F7" s="693" t="s">
        <v>301</v>
      </c>
      <c r="G7" s="1739" t="s">
        <v>22</v>
      </c>
      <c r="H7" s="403"/>
      <c r="I7" s="1739" t="s">
        <v>22</v>
      </c>
      <c r="J7" s="403"/>
      <c r="K7" s="291" t="s">
        <v>949</v>
      </c>
      <c r="V7" s="507">
        <v>0</v>
      </c>
    </row>
    <row s="1368" customFormat="1" customHeight="1" ht="15" hidden="1">
      <c r="C8" s="674"/>
      <c r="U8" s="422"/>
      <c r="V8" s="419">
        <v>0</v>
      </c>
    </row>
    <row customHeight="1" ht="22.5" hidden="1">
      <c r="A9" s="507"/>
      <c r="B9" s="2420"/>
      <c r="C9" s="2421" t="s">
        <v>682</v>
      </c>
      <c r="D9" s="691" t="str">
        <f>B9&amp;".1"</f>
        <v>.1</v>
      </c>
      <c r="E9" s="692" t="s">
        <v>952</v>
      </c>
      <c r="F9" s="693" t="s">
        <v>301</v>
      </c>
      <c r="G9" s="699" t="s">
        <v>22</v>
      </c>
      <c r="H9" s="403" t="s">
        <v>22</v>
      </c>
      <c r="I9" s="699" t="s">
        <v>22</v>
      </c>
      <c r="J9" s="403" t="s">
        <v>22</v>
      </c>
      <c r="K9" s="291"/>
      <c r="V9" s="507">
        <v>0</v>
      </c>
    </row>
    <row customHeight="1" ht="15" hidden="1">
      <c r="A10" s="507"/>
      <c r="B10" s="2420"/>
      <c r="C10" s="2421"/>
      <c r="D10" s="691" t="str">
        <f>B9&amp;".2"</f>
        <v>.2</v>
      </c>
      <c r="E10" s="692" t="s">
        <v>953</v>
      </c>
      <c r="F10" s="693" t="s">
        <v>301</v>
      </c>
      <c r="G10" s="1733" t="s">
        <v>22</v>
      </c>
      <c r="H10" s="403" t="s">
        <v>22</v>
      </c>
      <c r="I10" s="1733" t="s">
        <v>22</v>
      </c>
      <c r="J10" s="403" t="s">
        <v>22</v>
      </c>
      <c r="K10" s="291" t="s">
        <v>954</v>
      </c>
      <c r="V10" s="507">
        <v>0</v>
      </c>
    </row>
    <row customHeight="1" ht="15" hidden="1">
      <c r="A11" s="507"/>
      <c r="B11" s="2420"/>
      <c r="C11" s="2421"/>
      <c r="D11" s="691" t="str">
        <f>B9&amp;".3"</f>
        <v>.3</v>
      </c>
      <c r="E11" s="692" t="s">
        <v>955</v>
      </c>
      <c r="F11" s="693" t="s">
        <v>301</v>
      </c>
      <c r="G11" s="1733" t="s">
        <v>22</v>
      </c>
      <c r="H11" s="403" t="s">
        <v>22</v>
      </c>
      <c r="I11" s="1733" t="s">
        <v>22</v>
      </c>
      <c r="J11" s="403" t="s">
        <v>22</v>
      </c>
      <c r="K11" s="291" t="s">
        <v>956</v>
      </c>
      <c r="V11" s="507">
        <v>0</v>
      </c>
    </row>
    <row s="1368" customFormat="1" customHeight="1" ht="15" hidden="1">
      <c r="C12" s="674"/>
      <c r="U12" s="422"/>
      <c r="V12" s="419">
        <v>0</v>
      </c>
    </row>
    <row customHeight="1" ht="33.75" hidden="1">
      <c r="A13" s="507"/>
      <c r="B13" s="2420"/>
      <c r="C13" s="2421" t="s">
        <v>682</v>
      </c>
      <c r="D13" s="691" t="str">
        <f>B13&amp;".1"</f>
        <v>.1</v>
      </c>
      <c r="E13" s="692" t="s">
        <v>957</v>
      </c>
      <c r="F13" s="693" t="s">
        <v>301</v>
      </c>
      <c r="G13" s="699" t="s">
        <v>22</v>
      </c>
      <c r="H13" s="403" t="s">
        <v>22</v>
      </c>
      <c r="I13" s="699" t="s">
        <v>22</v>
      </c>
      <c r="J13" s="403" t="s">
        <v>22</v>
      </c>
      <c r="K13" s="291" t="s">
        <v>958</v>
      </c>
      <c r="V13" s="507">
        <v>0</v>
      </c>
    </row>
    <row customHeight="1" ht="15" hidden="1">
      <c r="B14" s="2420"/>
      <c r="C14" s="2421"/>
      <c r="D14" s="691" t="str">
        <f>B13&amp;".2"</f>
        <v>.2</v>
      </c>
      <c r="E14" s="692" t="s">
        <v>959</v>
      </c>
      <c r="F14" s="693" t="s">
        <v>301</v>
      </c>
      <c r="G14" s="1733" t="s">
        <v>22</v>
      </c>
      <c r="H14" s="403" t="s">
        <v>22</v>
      </c>
      <c r="I14" s="1733" t="s">
        <v>22</v>
      </c>
      <c r="J14" s="403" t="s">
        <v>22</v>
      </c>
      <c r="K14" s="291" t="s">
        <v>960</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5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5"/>
      <c r="F22" s="2255"/>
      <c r="G22" s="2255"/>
      <c r="H22" s="2255"/>
      <c r="I22" s="2255"/>
      <c r="J22" s="678"/>
      <c r="K22" s="539"/>
      <c r="V22" s="507">
        <v>22</v>
      </c>
    </row>
    <row customHeight="1" ht="15.75">
      <c r="C23" s="178"/>
      <c r="D23" s="2224" t="str">
        <f>IF(org=0,"Не определено",org)</f>
        <v>Муниципальное унитарное предприятие "Невельские коммунальные сети"</v>
      </c>
      <c r="E23" s="2224"/>
      <c r="F23" s="2224"/>
      <c r="G23" s="2224"/>
      <c r="H23" s="2224"/>
      <c r="I23" s="2224"/>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114</v>
      </c>
      <c r="J25" s="754"/>
      <c r="K25" s="419"/>
      <c r="U25" s="677"/>
      <c r="V25" s="760">
        <v>1</v>
      </c>
    </row>
    <row customHeight="1" ht="15.75">
      <c r="C26" s="178"/>
      <c r="D26" s="713"/>
      <c r="E26" s="2395" t="s">
        <v>102</v>
      </c>
      <c r="F26" s="2396"/>
      <c r="G26" s="2422" t="str">
        <f>IF(G25="","",INDEX(DIFFERENTIATION_UNMERGE_VD,MATCH(G25,DIFFERENTIATION_ID_DIFF,0)))</f>
        <v/>
      </c>
      <c r="H26" s="2423"/>
      <c r="I26" s="2422">
        <f>IF(I25="","",INDEX(DIFFERENTIATION_UNMERGE_VD,MATCH(I25,DIFFERENTIATION_ID_DIFF,0)))</f>
        <v>0</v>
      </c>
      <c r="J26" s="2423"/>
      <c r="K26" s="2199" t="s">
        <v>296</v>
      </c>
      <c r="V26" s="507">
        <v>15</v>
      </c>
    </row>
    <row s="1637" customFormat="1" customHeight="1" ht="15.75">
      <c r="A27" s="761"/>
      <c r="C27" s="178"/>
      <c r="D27" s="713"/>
      <c r="E27" s="2395" t="s">
        <v>557</v>
      </c>
      <c r="F27" s="2396"/>
      <c r="G27" s="2422" t="str">
        <f>IF(G25="","",INDEX(DIFFERENTIATION_UNMERGE_AREA,MATCH(G25,DIFFERENTIATION_ID_DIFF,0)))</f>
        <v/>
      </c>
      <c r="H27" s="2423"/>
      <c r="I27" s="2422" t="str">
        <f>IF(I25="","",INDEX(DIFFERENTIATION_UNMERGE_AREA,MATCH(I25,DIFFERENTIATION_ID_DIFF,0)))</f>
        <v/>
      </c>
      <c r="J27" s="2423"/>
      <c r="K27" s="2203"/>
      <c r="U27" s="677"/>
      <c r="V27" s="760">
        <v>15</v>
      </c>
    </row>
    <row s="1637" customFormat="1" customHeight="1" ht="15.75">
      <c r="A28" s="761"/>
      <c r="C28" s="178"/>
      <c r="D28" s="713"/>
      <c r="E28" s="2395" t="s">
        <v>558</v>
      </c>
      <c r="F28" s="2396"/>
      <c r="G28" s="2422" t="str">
        <f>IF(G25="","",INDEX(DIFFERENTIATION_UNMERGE_SYSTEM,MATCH(G25,DIFFERENTIATION_ID_DIFF,0)))</f>
        <v/>
      </c>
      <c r="H28" s="2423"/>
      <c r="I28" s="2422" t="str">
        <f>IF(I25="","",INDEX(DIFFERENTIATION_UNMERGE_SYSTEM,MATCH(I25,DIFFERENTIATION_ID_DIFF,0)))</f>
        <v>без дифференциации</v>
      </c>
      <c r="J28" s="2423"/>
      <c r="K28" s="2203"/>
      <c r="U28" s="677"/>
      <c r="V28" s="760">
        <v>15</v>
      </c>
    </row>
    <row s="1637" customFormat="1" customHeight="1" ht="15.75">
      <c r="A29" s="761"/>
      <c r="C29" s="178"/>
      <c r="D29" s="2397" t="s">
        <v>295</v>
      </c>
      <c r="E29" s="2398"/>
      <c r="F29" s="2398"/>
      <c r="G29" s="889"/>
      <c r="H29" s="889"/>
      <c r="I29" s="889"/>
      <c r="J29" s="890"/>
      <c r="K29" s="2203"/>
      <c r="U29" s="677"/>
      <c r="V29" s="760">
        <v>15</v>
      </c>
    </row>
    <row customHeight="1" ht="35.699999999999996">
      <c r="C30" s="178"/>
      <c r="D30" s="763" t="s">
        <v>88</v>
      </c>
      <c r="E30" s="762" t="s">
        <v>297</v>
      </c>
      <c r="F30" s="762" t="s">
        <v>559</v>
      </c>
      <c r="G30" s="810" t="s">
        <v>298</v>
      </c>
      <c r="H30" s="809" t="s">
        <v>385</v>
      </c>
      <c r="I30" s="686" t="s">
        <v>298</v>
      </c>
      <c r="J30" s="467" t="s">
        <v>385</v>
      </c>
      <c r="K30" s="2209"/>
      <c r="V30" s="507">
        <v>34</v>
      </c>
    </row>
    <row customHeight="1" ht="15" hidden="1">
      <c r="C31" s="178"/>
      <c r="D31" s="595"/>
      <c r="E31" s="595"/>
      <c r="F31" s="595"/>
      <c r="G31" s="661"/>
      <c r="H31" s="661"/>
      <c r="I31" s="661"/>
      <c r="J31" s="661"/>
      <c r="K31" s="291"/>
      <c r="V31" s="507">
        <v>0</v>
      </c>
    </row>
    <row customHeight="1" ht="24">
      <c r="A32" s="507"/>
      <c r="B32" s="507" t="s">
        <v>961</v>
      </c>
      <c r="C32" s="528"/>
      <c r="D32" s="694">
        <v>1</v>
      </c>
      <c r="E32" s="695" t="s">
        <v>962</v>
      </c>
      <c r="F32" s="693" t="s">
        <v>301</v>
      </c>
      <c r="G32" s="815" t="s">
        <v>301</v>
      </c>
      <c r="H32" s="815" t="s">
        <v>301</v>
      </c>
      <c r="I32" s="693" t="s">
        <v>301</v>
      </c>
      <c r="J32" s="693" t="s">
        <v>301</v>
      </c>
      <c r="K32" s="291"/>
      <c r="V32" s="507">
        <v>23</v>
      </c>
    </row>
    <row customHeight="1" ht="11.549999999999999">
      <c r="A33" s="507"/>
      <c r="C33" s="507"/>
      <c r="D33" s="349"/>
      <c r="E33" s="582" t="s">
        <v>580</v>
      </c>
      <c r="F33" s="574"/>
      <c r="G33" s="574"/>
      <c r="H33" s="574"/>
      <c r="I33" s="574"/>
      <c r="J33" s="574"/>
      <c r="K33" s="575"/>
      <c r="U33" s="507"/>
      <c r="V33" s="507">
        <v>11</v>
      </c>
    </row>
    <row customHeight="1" ht="24">
      <c r="A34" s="507"/>
      <c r="B34" s="583" t="s">
        <v>629</v>
      </c>
      <c r="C34" s="528"/>
      <c r="D34" s="694">
        <v>2</v>
      </c>
      <c r="E34" s="695" t="s">
        <v>963</v>
      </c>
      <c r="F34" s="822" t="s">
        <v>301</v>
      </c>
      <c r="G34" s="822" t="s">
        <v>301</v>
      </c>
      <c r="H34" s="822" t="s">
        <v>301</v>
      </c>
      <c r="I34" s="693"/>
      <c r="J34" s="693"/>
      <c r="K34" s="291"/>
      <c r="V34" s="507">
        <v>23</v>
      </c>
    </row>
    <row customHeight="1" ht="11.549999999999999">
      <c r="A35" s="507"/>
      <c r="C35" s="507"/>
      <c r="D35" s="349"/>
      <c r="E35" s="582" t="s">
        <v>964</v>
      </c>
      <c r="F35" s="574"/>
      <c r="G35" s="696"/>
      <c r="H35" s="574"/>
      <c r="I35" s="696"/>
      <c r="J35" s="574"/>
      <c r="K35" s="575"/>
      <c r="U35" s="507"/>
      <c r="V35" s="507">
        <v>11</v>
      </c>
    </row>
    <row customHeight="1" ht="71.25">
      <c r="A36" s="507"/>
      <c r="B36" s="507" t="s">
        <v>965</v>
      </c>
      <c r="C36" s="528"/>
      <c r="D36" s="694">
        <v>3</v>
      </c>
      <c r="E36" s="695" t="s">
        <v>966</v>
      </c>
      <c r="F36" s="697" t="s">
        <v>301</v>
      </c>
      <c r="G36" s="816" t="s">
        <v>967</v>
      </c>
      <c r="H36" s="815" t="s">
        <v>301</v>
      </c>
      <c r="I36" s="526" t="s">
        <v>967</v>
      </c>
      <c r="J36" s="693" t="s">
        <v>301</v>
      </c>
      <c r="K36" s="291" t="s">
        <v>968</v>
      </c>
      <c r="V36" s="507">
        <v>68</v>
      </c>
    </row>
    <row customHeight="1" ht="11.549999999999999">
      <c r="A37" s="507"/>
      <c r="C37" s="507"/>
      <c r="D37" s="349"/>
      <c r="E37" s="582" t="s">
        <v>969</v>
      </c>
      <c r="F37" s="574"/>
      <c r="G37" s="696"/>
      <c r="H37" s="696"/>
      <c r="I37" s="696"/>
      <c r="J37" s="696"/>
      <c r="K37" s="575"/>
      <c r="U37" s="507"/>
      <c r="V37" s="507">
        <v>11</v>
      </c>
    </row>
    <row customHeight="1" ht="71.25">
      <c r="A38" s="507"/>
      <c r="B38" s="507" t="s">
        <v>970</v>
      </c>
      <c r="C38" s="528"/>
      <c r="D38" s="694">
        <v>4</v>
      </c>
      <c r="E38" s="695" t="s">
        <v>971</v>
      </c>
      <c r="F38" s="697" t="s">
        <v>301</v>
      </c>
      <c r="G38" s="816" t="s">
        <v>967</v>
      </c>
      <c r="H38" s="817" t="s">
        <v>301</v>
      </c>
      <c r="I38" s="526" t="s">
        <v>967</v>
      </c>
      <c r="J38" s="523" t="s">
        <v>301</v>
      </c>
      <c r="K38" s="681" t="s">
        <v>972</v>
      </c>
      <c r="V38" s="507">
        <v>68</v>
      </c>
    </row>
    <row customHeight="1" ht="11.549999999999999">
      <c r="A39" s="507"/>
      <c r="C39" s="507"/>
      <c r="D39" s="349"/>
      <c r="E39" s="582" t="s">
        <v>973</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29E34F-20E8-B055-4C6B-C1B06E9B5AD2}" mc:Ignorable="x14ac xr xr2 xr3">
  <sheetPr>
    <tabColor theme="9" tint="-0.25"/>
  </sheetPr>
  <dimension ref="A1:AE18"/>
  <sheetViews>
    <sheetView showGridLines="0" zoomScale="85" workbookViewId="0">
      <pane xSplit="7" ySplit="10" topLeftCell="H13" activePane="bottomRight" state="frozen"/>
      <selection pane="bottomLeft" activeCell="A11" sqref="A11"/>
      <selection pane="topRight" activeCell="H1" sqref="H1"/>
      <selection pane="bottomRight" activeCell="Y13" sqref="Y13:Y14"/>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11.710937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974</v>
      </c>
      <c r="H3" s="1158"/>
      <c r="AE3" s="761">
        <v>0</v>
      </c>
    </row>
    <row customHeight="1" ht="3">
      <c r="AE4" s="760">
        <v>3</v>
      </c>
    </row>
    <row customHeight="1" ht="27.299999999999997">
      <c r="F5" s="2310" t="str">
        <f>IP_NAME_FORM</f>
        <v>Форма 7. Информация об инвестиционных программах организации холодного водоснабжения и отчетах об их исполнении</v>
      </c>
      <c r="G5" s="2310"/>
      <c r="H5" s="2310"/>
      <c r="I5" s="2310"/>
      <c r="J5" s="2310"/>
      <c r="K5" s="2310"/>
      <c r="M5" s="584"/>
      <c r="AB5" s="908"/>
      <c r="AE5" s="760">
        <v>26</v>
      </c>
    </row>
    <row s="1637" customFormat="1" customHeight="1" ht="16.8">
      <c r="A6" s="1168"/>
      <c r="B6" s="1168"/>
      <c r="C6" s="1168"/>
      <c r="D6" s="1162"/>
      <c r="E6" s="1637"/>
      <c r="F6" s="2311" t="str">
        <f>IF(org=0,"Не определено",org)</f>
        <v>Муниципальное унитарное предприятие "Невельские коммунальные сети"</v>
      </c>
      <c r="G6" s="2311"/>
      <c r="H6" s="2311"/>
      <c r="I6" s="2311"/>
      <c r="J6" s="2311"/>
      <c r="K6" s="2311"/>
      <c r="M6" s="584"/>
      <c r="AB6" s="1150"/>
      <c r="AE6" s="1633">
        <v>16</v>
      </c>
    </row>
    <row customHeight="1" ht="10.5">
      <c r="AE7" s="760">
        <v>10</v>
      </c>
    </row>
    <row customHeight="1" ht="10.5">
      <c r="A8" s="1053"/>
      <c r="B8" s="1053"/>
      <c r="C8" s="1053"/>
      <c r="F8" s="2124" t="s">
        <v>295</v>
      </c>
      <c r="G8" s="2125"/>
      <c r="H8" s="2125"/>
      <c r="I8" s="2125"/>
      <c r="J8" s="2125"/>
      <c r="K8" s="2125"/>
      <c r="L8" s="2125"/>
      <c r="M8" s="2125"/>
      <c r="N8" s="2125"/>
      <c r="O8" s="2125"/>
      <c r="P8" s="2125"/>
      <c r="Q8" s="2125"/>
      <c r="R8" s="2125"/>
      <c r="S8" s="2125"/>
      <c r="T8" s="2125"/>
      <c r="U8" s="2125"/>
      <c r="V8" s="2125"/>
      <c r="W8" s="2125"/>
      <c r="X8" s="2125"/>
      <c r="Y8" s="2125"/>
      <c r="Z8" s="2125"/>
      <c r="AA8" s="2125"/>
      <c r="AB8" s="2126"/>
      <c r="AE8" s="760">
        <v>10</v>
      </c>
    </row>
    <row customHeight="1" ht="43.050000000000004">
      <c r="A9" s="907"/>
      <c r="B9" s="907"/>
      <c r="C9" s="907"/>
      <c r="F9" s="2140" t="s">
        <v>88</v>
      </c>
      <c r="G9" s="2140" t="s">
        <v>974</v>
      </c>
      <c r="H9" s="2199" t="s">
        <v>975</v>
      </c>
      <c r="I9" s="2140" t="s">
        <v>976</v>
      </c>
      <c r="J9" s="2140" t="s">
        <v>977</v>
      </c>
      <c r="K9" s="2140" t="s">
        <v>978</v>
      </c>
      <c r="L9" s="2140" t="s">
        <v>979</v>
      </c>
      <c r="M9" s="2140" t="s">
        <v>980</v>
      </c>
      <c r="N9" s="2232" t="s">
        <v>981</v>
      </c>
      <c r="O9" s="2232"/>
      <c r="P9" s="2232"/>
      <c r="Q9" s="2428" t="s">
        <v>982</v>
      </c>
      <c r="R9" s="2429"/>
      <c r="S9" s="2429"/>
      <c r="T9" s="2430"/>
      <c r="U9" s="2428" t="s">
        <v>983</v>
      </c>
      <c r="V9" s="2429"/>
      <c r="W9" s="2429"/>
      <c r="X9" s="2430"/>
      <c r="Y9" s="2124" t="s">
        <v>984</v>
      </c>
      <c r="Z9" s="2125"/>
      <c r="AA9" s="2125"/>
      <c r="AB9" s="2126"/>
      <c r="AE9" s="760">
        <v>41</v>
      </c>
    </row>
    <row customHeight="1" ht="43.050000000000004">
      <c r="A10" s="907"/>
      <c r="B10" s="907"/>
      <c r="C10" s="907"/>
      <c r="F10" s="2199"/>
      <c r="G10" s="2199"/>
      <c r="H10" s="2260"/>
      <c r="I10" s="2199"/>
      <c r="J10" s="2199"/>
      <c r="K10" s="2199"/>
      <c r="L10" s="2199"/>
      <c r="M10" s="2199"/>
      <c r="N10" s="905" t="s">
        <v>985</v>
      </c>
      <c r="O10" s="905" t="s">
        <v>986</v>
      </c>
      <c r="P10" s="906" t="s">
        <v>987</v>
      </c>
      <c r="Q10" s="917" t="s">
        <v>89</v>
      </c>
      <c r="R10" s="917" t="s">
        <v>988</v>
      </c>
      <c r="S10" s="917" t="s">
        <v>989</v>
      </c>
      <c r="T10" s="918" t="s">
        <v>990</v>
      </c>
      <c r="U10" s="917" t="s">
        <v>89</v>
      </c>
      <c r="V10" s="917" t="s">
        <v>991</v>
      </c>
      <c r="W10" s="917" t="s">
        <v>989</v>
      </c>
      <c r="X10" s="918" t="s">
        <v>990</v>
      </c>
      <c r="Y10" s="303" t="s">
        <v>992</v>
      </c>
      <c r="Z10" s="2124" t="s">
        <v>88</v>
      </c>
      <c r="AA10" s="2126"/>
      <c r="AB10" s="1051" t="s">
        <v>993</v>
      </c>
      <c r="AE10" s="760">
        <v>41</v>
      </c>
    </row>
    <row s="1644" customFormat="1" customHeight="1" ht="5.25" hidden="1">
      <c r="A11" s="1054"/>
      <c r="B11" s="1054"/>
      <c r="C11" s="1054"/>
      <c r="E11" s="1052"/>
      <c r="F11" s="2426" t="s">
        <v>371</v>
      </c>
      <c r="G11" s="2431"/>
      <c r="H11" s="2424"/>
      <c r="I11" s="2424"/>
      <c r="J11" s="2424"/>
      <c r="K11" s="2427"/>
      <c r="L11" s="2427"/>
      <c r="M11" s="2427"/>
      <c r="N11" s="2424"/>
      <c r="O11" s="2424"/>
      <c r="P11" s="2140"/>
      <c r="Q11" s="2212"/>
      <c r="R11" s="2212"/>
      <c r="S11" s="2212"/>
      <c r="T11" s="2424"/>
      <c r="U11" s="2212"/>
      <c r="V11" s="2212"/>
      <c r="W11" s="2212"/>
      <c r="X11" s="2424"/>
      <c r="Y11" s="2151"/>
      <c r="Z11" s="2151"/>
      <c r="AA11" s="2151"/>
      <c r="AB11" s="2151"/>
      <c r="AD11" s="513" t="s">
        <v>994</v>
      </c>
      <c r="AE11" s="513">
        <v>0</v>
      </c>
    </row>
    <row s="1644" customFormat="1" customHeight="1" ht="5.25" hidden="1">
      <c r="A12" s="898"/>
      <c r="B12" s="898"/>
      <c r="C12" s="898"/>
      <c r="E12" s="520"/>
      <c r="F12" s="2426"/>
      <c r="G12" s="2431"/>
      <c r="H12" s="2424"/>
      <c r="I12" s="2424"/>
      <c r="J12" s="2424"/>
      <c r="K12" s="2427"/>
      <c r="L12" s="2427"/>
      <c r="M12" s="2427"/>
      <c r="N12" s="2424"/>
      <c r="O12" s="2424"/>
      <c r="P12" s="2140"/>
      <c r="Q12" s="2212"/>
      <c r="R12" s="2212"/>
      <c r="S12" s="2212"/>
      <c r="T12" s="2424"/>
      <c r="U12" s="2212"/>
      <c r="V12" s="2212"/>
      <c r="W12" s="2212"/>
      <c r="X12" s="2424"/>
      <c r="Y12" s="2425"/>
      <c r="Z12" s="2425"/>
      <c r="AA12" s="2425"/>
      <c r="AB12" s="2425"/>
      <c r="AE12" s="513">
        <v>0</v>
      </c>
    </row>
    <row customHeight="1" ht="105.75">
      <c r="A13" s="1168"/>
      <c r="B13" s="1168"/>
      <c r="C13" s="1168"/>
      <c r="D13" s="1162"/>
      <c r="E13" s="685" t="s">
        <v>682</v>
      </c>
      <c r="F13" s="2526" t="s">
        <v>106</v>
      </c>
      <c r="G13" s="2527" t="s">
        <v>995</v>
      </c>
      <c r="H13" s="2528" t="s">
        <v>65</v>
      </c>
      <c r="I13" s="2530">
        <v>45929</v>
      </c>
      <c r="J13" s="2532">
        <v>46241</v>
      </c>
      <c r="K13" s="2534" t="s">
        <v>996</v>
      </c>
      <c r="L13" s="2548" t="s">
        <v>997</v>
      </c>
      <c r="M13" s="2548" t="s">
        <v>998</v>
      </c>
      <c r="N13" s="2589" t="s">
        <v>999</v>
      </c>
      <c r="O13" s="2589" t="s">
        <v>1000</v>
      </c>
      <c r="P13" s="2590" t="str">
        <f>DATEDIF(DATEVALUE(N13),DATEVALUE(O13),"y")&amp;"г. "&amp;DATEDIF(DATEVALUE(N13),DATEVALUE(O13),"ym")&amp;"мес. "&amp;DATEVALUE(O13)-DATE(YEAR(DATEVALUE(O13)),MONTH(DATEVALUE(O13)),1)&amp;"дн. "</f>
        <v>2г. 11мес. 30дн. </v>
      </c>
      <c r="Q13" s="2550" t="s">
        <v>1001</v>
      </c>
      <c r="R13" s="2550" t="s">
        <v>1002</v>
      </c>
      <c r="S13" s="2550" t="s">
        <v>1003</v>
      </c>
      <c r="T13" s="2532" t="s">
        <v>1004</v>
      </c>
      <c r="U13" s="2550" t="s">
        <v>1005</v>
      </c>
      <c r="V13" s="2550" t="s">
        <v>1002</v>
      </c>
      <c r="W13" s="2550" t="s">
        <v>1006</v>
      </c>
      <c r="X13" s="2532">
        <v>46241</v>
      </c>
      <c r="Y13" s="2587" t="s">
        <v>19</v>
      </c>
      <c r="Z13" s="1809"/>
      <c r="AA13" s="1793">
        <v>1</v>
      </c>
      <c r="AB13" s="2656" t="s">
        <v>22</v>
      </c>
      <c r="AC13" s="1637"/>
      <c r="AD13" s="1638" t="s">
        <v>1007</v>
      </c>
      <c r="AE13" s="1637"/>
    </row>
    <row customHeight="1" ht="81">
      <c r="A14" s="1168"/>
      <c r="B14" s="1168"/>
      <c r="C14" s="1168"/>
      <c r="D14" s="1162"/>
      <c r="E14" s="949"/>
      <c r="F14" s="2526" t="s">
        <v>371</v>
      </c>
      <c r="G14" s="2527"/>
      <c r="H14" s="2529"/>
      <c r="I14" s="2531"/>
      <c r="J14" s="2533"/>
      <c r="K14" s="2534"/>
      <c r="L14" s="2548"/>
      <c r="M14" s="2548"/>
      <c r="N14" s="2589"/>
      <c r="O14" s="2589"/>
      <c r="P14" s="2590"/>
      <c r="Q14" s="2550"/>
      <c r="R14" s="2550"/>
      <c r="S14" s="2550"/>
      <c r="T14" s="2533"/>
      <c r="U14" s="2550"/>
      <c r="V14" s="2550"/>
      <c r="W14" s="2550"/>
      <c r="X14" s="2533"/>
      <c r="Y14" s="2588"/>
      <c r="Z14" s="349"/>
      <c r="AA14" s="574"/>
      <c r="AB14" s="654" t="s">
        <v>1008</v>
      </c>
      <c r="AC14" s="1637"/>
      <c r="AD14" s="1637"/>
      <c r="AE14" s="1637"/>
    </row>
    <row customHeight="1" ht="10.5">
      <c r="F15" s="904"/>
      <c r="G15" s="652" t="s">
        <v>1009</v>
      </c>
      <c r="H15" s="1170"/>
      <c r="I15" s="574"/>
      <c r="J15" s="574"/>
      <c r="K15" s="574"/>
      <c r="L15" s="574"/>
      <c r="M15" s="574"/>
      <c r="N15" s="574"/>
      <c r="O15" s="574"/>
      <c r="P15" s="574"/>
      <c r="Q15" s="574"/>
      <c r="R15" s="574"/>
      <c r="S15" s="574"/>
      <c r="T15" s="574"/>
      <c r="U15" s="574"/>
      <c r="V15" s="574"/>
      <c r="W15" s="574"/>
      <c r="X15" s="574"/>
      <c r="Y15" s="574"/>
      <c r="Z15" s="698"/>
      <c r="AA15" s="698"/>
      <c r="AB15" s="919"/>
      <c r="AE15" s="760">
        <v>10</v>
      </c>
    </row>
    <row customHeight="1" ht="10.5">
      <c r="AE16" s="760">
        <v>10</v>
      </c>
    </row>
    <row s="1644" customFormat="1" customHeight="1" ht="10.5">
      <c r="A17" s="1169"/>
      <c r="B17" s="1169"/>
      <c r="C17" s="1169"/>
      <c r="E17" s="520"/>
      <c r="H17" s="513">
        <f>_xlfn.IFERROR(MATCH("нет",IP_MAIN_DIFFERENTIATION_EVENTS_FLAG,0),0)</f>
        <v>0</v>
      </c>
      <c r="AE17" s="513">
        <v>10</v>
      </c>
    </row>
    <row customHeight="1" ht="10.5" hidden="1">
      <c r="A18" s="897" t="s">
        <v>82</v>
      </c>
      <c r="B18" s="897">
        <v>0</v>
      </c>
      <c r="C18" s="897">
        <v>0</v>
      </c>
      <c r="D18" s="419">
        <v>0</v>
      </c>
      <c r="E18" s="511">
        <v>3</v>
      </c>
      <c r="F18" s="760">
        <v>6</v>
      </c>
      <c r="G18" s="760">
        <v>37</v>
      </c>
      <c r="H18" s="1157">
        <v>16</v>
      </c>
      <c r="I18" s="760">
        <v>19</v>
      </c>
      <c r="J18" s="760">
        <v>19</v>
      </c>
      <c r="K18" s="760">
        <v>24</v>
      </c>
      <c r="L18" s="760">
        <v>25</v>
      </c>
      <c r="M18" s="760">
        <v>25</v>
      </c>
      <c r="N18" s="760">
        <v>17</v>
      </c>
      <c r="O18" s="760">
        <v>17</v>
      </c>
      <c r="P18" s="760">
        <v>17</v>
      </c>
      <c r="Q18" s="760">
        <v>19</v>
      </c>
      <c r="R18" s="760">
        <v>19</v>
      </c>
      <c r="S18" s="760">
        <v>19</v>
      </c>
      <c r="T18" s="760">
        <v>19</v>
      </c>
      <c r="U18" s="760">
        <v>19</v>
      </c>
      <c r="V18" s="760">
        <v>19</v>
      </c>
      <c r="W18" s="760">
        <v>19</v>
      </c>
      <c r="X18" s="760">
        <v>19</v>
      </c>
      <c r="Y18" s="760">
        <v>7</v>
      </c>
      <c r="Z18" s="760">
        <v>3</v>
      </c>
      <c r="AA18" s="760">
        <v>6</v>
      </c>
      <c r="AB18" s="760">
        <v>34</v>
      </c>
      <c r="AC18" s="760">
        <v>8</v>
      </c>
      <c r="AD18" s="760">
        <v>8</v>
      </c>
      <c r="AE18" s="760">
        <v>10</v>
      </c>
    </row>
  </sheetData>
  <sheetProtection formatColumns="0" formatRows="0" autoFilter="0" sort="0" insertRows="0" insertColumns="1" deleteRows="0" deleteColumns="0"/>
  <mergeCells count="60">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Y13:Y14"/>
    <mergeCell ref="S13:S14"/>
    <mergeCell ref="T13:T14"/>
    <mergeCell ref="M13:M14"/>
    <mergeCell ref="N13:N14"/>
    <mergeCell ref="O13:O14"/>
    <mergeCell ref="Q13:Q14"/>
    <mergeCell ref="R13:R14"/>
    <mergeCell ref="W13:W14"/>
    <mergeCell ref="X13:X14"/>
    <mergeCell ref="P13:P14"/>
    <mergeCell ref="L13:L14"/>
    <mergeCell ref="U13:U14"/>
    <mergeCell ref="V13:V14"/>
    <mergeCell ref="F13:F14"/>
    <mergeCell ref="G13:G14"/>
    <mergeCell ref="H13:H14"/>
    <mergeCell ref="I13:I14"/>
    <mergeCell ref="J13:J14"/>
    <mergeCell ref="K13:K14"/>
    <mergeCell ref="E13:E14"/>
  </mergeCells>
  <dataValidations count="15">
    <dataValidation allowBlank="1" showInputMessage="1" showErrorMessage="1" promptTitle="Ввод" prompt="Для выбора ИП необходимо два раза нажать левую кнопку мыши!" sqref="G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S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U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AB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83908-AD18-3897-A248-25DEAAF545A8}" mc:Ignorable="x14ac xr xr2 xr3">
  <sheetPr>
    <tabColor theme="9" tint="-0.25"/>
  </sheetPr>
  <dimension ref="A1:BG80"/>
  <sheetViews>
    <sheetView showGridLines="0" zoomScale="90" workbookViewId="0">
      <pane xSplit="8" ySplit="12" topLeftCell="K22" activePane="bottomRight" state="frozen"/>
      <selection pane="bottomLeft" activeCell="A13" sqref="A13"/>
      <selection pane="topRight" activeCell="I1" sqref="I1"/>
      <selection pane="bottomRight" activeCell="O27" sqref="O27:O29"/>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6.8515625" customWidth="1"/>
    <col min="7" max="7" style="1637" width="3.00390625" customWidth="1"/>
    <col min="8" max="8" style="1637" width="7.00390625" customWidth="1"/>
    <col min="9" max="10" style="1637" width="16.00390625" hidden="1" customWidth="1"/>
    <col min="11" max="11" style="1637" width="75.710937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14.710937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310" t="str">
        <f>IP_NAME_FORM</f>
        <v>Форма 7. Информация об инвестиционных программах организации холодного водоснабжения и отчетах об их исполнении</v>
      </c>
      <c r="G5" s="2310"/>
      <c r="H5" s="2310"/>
      <c r="I5" s="2310"/>
      <c r="J5" s="2310"/>
      <c r="K5" s="2310"/>
      <c r="L5" s="1137"/>
      <c r="M5" s="1137"/>
      <c r="AG5" s="908"/>
      <c r="AH5" s="1150"/>
      <c r="BG5" s="760">
        <v>26</v>
      </c>
    </row>
    <row customHeight="1" ht="10.5">
      <c r="F6" s="2224" t="str">
        <f>IF(org=0,"Не определено",org)</f>
        <v>Муниципальное унитарное предприятие "Невельские коммунальные сети"</v>
      </c>
      <c r="G6" s="2224"/>
      <c r="H6" s="2224"/>
      <c r="I6" s="2224"/>
      <c r="J6" s="2224"/>
      <c r="K6" s="2224"/>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41" t="s">
        <v>295</v>
      </c>
      <c r="G8" s="2442"/>
      <c r="H8" s="2442"/>
      <c r="I8" s="2442"/>
      <c r="J8" s="2442"/>
      <c r="K8" s="2442"/>
      <c r="L8" s="2442"/>
      <c r="M8" s="2442"/>
      <c r="N8" s="2442"/>
      <c r="O8" s="2442"/>
      <c r="P8" s="2442"/>
      <c r="Q8" s="2442"/>
      <c r="R8" s="2442"/>
      <c r="S8" s="2442"/>
      <c r="T8" s="2442"/>
      <c r="U8" s="2442"/>
      <c r="V8" s="2442"/>
      <c r="W8" s="2442"/>
      <c r="X8" s="2442"/>
      <c r="Y8" s="2442"/>
      <c r="Z8" s="2442"/>
      <c r="AA8" s="2442"/>
      <c r="AB8" s="2442"/>
      <c r="AC8" s="2442"/>
      <c r="AD8" s="2442"/>
      <c r="AE8" s="2442"/>
      <c r="AF8" s="2442"/>
      <c r="AG8" s="2442"/>
      <c r="AH8" s="2442"/>
      <c r="AI8" s="2442"/>
      <c r="AJ8" s="2442"/>
      <c r="AK8" s="2443"/>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34" t="s">
        <v>1010</v>
      </c>
      <c r="G9" s="2435" t="s">
        <v>1011</v>
      </c>
      <c r="H9" s="2436"/>
      <c r="I9" s="2140" t="s">
        <v>1012</v>
      </c>
      <c r="J9" s="2140"/>
      <c r="K9" s="2140" t="s">
        <v>1013</v>
      </c>
      <c r="L9" s="2140"/>
      <c r="M9" s="2140"/>
      <c r="N9" s="2140"/>
      <c r="O9" s="2140"/>
      <c r="P9" s="2140"/>
      <c r="Q9" s="2140"/>
      <c r="R9" s="2140"/>
      <c r="S9" s="2140"/>
      <c r="T9" s="2140"/>
      <c r="U9" s="2140"/>
      <c r="V9" s="2140"/>
      <c r="W9" s="2140"/>
      <c r="X9" s="2140"/>
      <c r="Y9" s="2140"/>
      <c r="Z9" s="2200" t="s">
        <v>1014</v>
      </c>
      <c r="AA9" s="2201"/>
      <c r="AB9" s="2140" t="s">
        <v>1015</v>
      </c>
      <c r="AC9" s="2140"/>
      <c r="AD9" s="2140"/>
      <c r="AE9" s="2140"/>
      <c r="AF9" s="2199" t="s">
        <v>1016</v>
      </c>
      <c r="AG9" s="2140" t="s">
        <v>1017</v>
      </c>
      <c r="AH9" s="2140"/>
      <c r="AI9" s="2199" t="s">
        <v>1018</v>
      </c>
      <c r="AJ9" s="2140" t="s">
        <v>1019</v>
      </c>
      <c r="AK9" s="2140"/>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34"/>
      <c r="G10" s="2437"/>
      <c r="H10" s="2438"/>
      <c r="I10" s="2140"/>
      <c r="J10" s="2140"/>
      <c r="K10" s="2140" t="s">
        <v>1020</v>
      </c>
      <c r="L10" s="2124" t="s">
        <v>1021</v>
      </c>
      <c r="M10" s="2126"/>
      <c r="N10" s="2140" t="s">
        <v>1022</v>
      </c>
      <c r="O10" s="2140"/>
      <c r="P10" s="2140"/>
      <c r="Q10" s="2140"/>
      <c r="R10" s="2140"/>
      <c r="S10" s="2140"/>
      <c r="T10" s="2140"/>
      <c r="U10" s="2140"/>
      <c r="V10" s="2140"/>
      <c r="W10" s="2140"/>
      <c r="X10" s="2140"/>
      <c r="Y10" s="2140"/>
      <c r="Z10" s="2202"/>
      <c r="AA10" s="2203"/>
      <c r="AB10" s="2140"/>
      <c r="AC10" s="2140"/>
      <c r="AD10" s="2140"/>
      <c r="AE10" s="2140"/>
      <c r="AF10" s="2207"/>
      <c r="AG10" s="2140"/>
      <c r="AH10" s="2140"/>
      <c r="AI10" s="2207"/>
      <c r="AJ10" s="2140"/>
      <c r="AK10" s="2140"/>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34"/>
      <c r="G11" s="2437"/>
      <c r="H11" s="2438"/>
      <c r="I11" s="2140"/>
      <c r="J11" s="2140"/>
      <c r="K11" s="2140"/>
      <c r="L11" s="2199" t="s">
        <v>1023</v>
      </c>
      <c r="M11" s="2199" t="s">
        <v>1024</v>
      </c>
      <c r="N11" s="2140" t="s">
        <v>1025</v>
      </c>
      <c r="O11" s="2140"/>
      <c r="P11" s="2432" t="s">
        <v>992</v>
      </c>
      <c r="Q11" s="2432" t="s">
        <v>1026</v>
      </c>
      <c r="R11" s="2432" t="s">
        <v>1027</v>
      </c>
      <c r="S11" s="2432" t="s">
        <v>1028</v>
      </c>
      <c r="T11" s="2432"/>
      <c r="U11" s="2432"/>
      <c r="V11" s="2432"/>
      <c r="W11" s="2432"/>
      <c r="X11" s="2432"/>
      <c r="Y11" s="2432"/>
      <c r="Z11" s="2202"/>
      <c r="AA11" s="2203"/>
      <c r="AB11" s="2140" t="s">
        <v>1029</v>
      </c>
      <c r="AC11" s="2140"/>
      <c r="AD11" s="2124" t="s">
        <v>1030</v>
      </c>
      <c r="AE11" s="2126"/>
      <c r="AF11" s="2207"/>
      <c r="AG11" s="2140"/>
      <c r="AH11" s="2140"/>
      <c r="AI11" s="2207"/>
      <c r="AJ11" s="2140"/>
      <c r="AK11" s="2140"/>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34"/>
      <c r="G12" s="2439"/>
      <c r="H12" s="2440"/>
      <c r="I12" s="1155" t="s">
        <v>89</v>
      </c>
      <c r="J12" s="1155" t="s">
        <v>1031</v>
      </c>
      <c r="K12" s="2140"/>
      <c r="L12" s="2260"/>
      <c r="M12" s="2260"/>
      <c r="N12" s="2140"/>
      <c r="O12" s="2140"/>
      <c r="P12" s="2432"/>
      <c r="Q12" s="2432"/>
      <c r="R12" s="2432"/>
      <c r="S12" s="1136" t="s">
        <v>86</v>
      </c>
      <c r="T12" s="1136" t="s">
        <v>87</v>
      </c>
      <c r="U12" s="1136" t="s">
        <v>85</v>
      </c>
      <c r="V12" s="1136" t="s">
        <v>1032</v>
      </c>
      <c r="W12" s="1136" t="s">
        <v>85</v>
      </c>
      <c r="X12" s="1136" t="s">
        <v>1033</v>
      </c>
      <c r="Y12" s="1136" t="s">
        <v>1034</v>
      </c>
      <c r="Z12" s="2208"/>
      <c r="AA12" s="2209"/>
      <c r="AB12" s="1143" t="s">
        <v>1035</v>
      </c>
      <c r="AC12" s="1143" t="s">
        <v>1036</v>
      </c>
      <c r="AD12" s="1143" t="s">
        <v>1035</v>
      </c>
      <c r="AE12" s="1143" t="s">
        <v>1036</v>
      </c>
      <c r="AF12" s="2260"/>
      <c r="AG12" s="1156" t="s">
        <v>1037</v>
      </c>
      <c r="AH12" s="1156" t="s">
        <v>1038</v>
      </c>
      <c r="AI12" s="2260"/>
      <c r="AJ12" s="1156" t="s">
        <v>1037</v>
      </c>
      <c r="AK12" s="1156" t="s">
        <v>1038</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21">
      <c r="A14" s="1169" t="s">
        <v>1007</v>
      </c>
      <c r="B14" s="1168"/>
      <c r="C14" s="1168"/>
      <c r="D14" s="1162"/>
      <c r="E14" s="1172" t="s">
        <v>22</v>
      </c>
      <c r="F14" s="1124" t="str">
        <f>INDEX(IP_MAIN_LIST_NAME_IP,MATCH(A14,IP_MAIN_LIST_IP_ID,0))&amp;" ("&amp;INDEX(IP_MAIN_START_DATE,MATCH(A14,IP_MAIN_LIST_IP_ID,0))&amp;"-"&amp;INDEX(IP_MAIN_END_DATE,MATCH(A14,IP_MAIN_LIST_IP_ID,0))&amp;")"</f>
        <v>Инвестиционная программа от 29.09.2025 МУП "НЕВЕЛЬСКИЕ КОММУНАЛЬНЫЕ СЕТИ" в сфере холодного водоснабжения по модернизации и реконструкции объектов, на территории муниципального округа Невельский на 2026-2028 годы (01.01.2026-31.12.2028)</v>
      </c>
      <c r="G14" s="1125"/>
      <c r="H14" s="1125"/>
      <c r="I14" s="1187"/>
      <c r="J14" s="1187"/>
      <c r="K14" s="1188"/>
      <c r="L14" s="1188"/>
      <c r="M14" s="1188"/>
      <c r="N14" s="1189"/>
      <c r="O14" s="1189"/>
      <c r="P14" s="1189"/>
      <c r="Q14" s="1189"/>
      <c r="R14" s="1189"/>
      <c r="S14" s="1189"/>
      <c r="T14" s="1189"/>
      <c r="U14" s="1189"/>
      <c r="V14" s="1189"/>
      <c r="W14" s="1189"/>
      <c r="X14" s="1189"/>
      <c r="Y14" s="1189"/>
      <c r="Z14" s="1189"/>
      <c r="AA14" s="1189"/>
      <c r="AB14" s="1189"/>
      <c r="AC14" s="1189"/>
      <c r="AD14" s="1189"/>
      <c r="AE14" s="1190"/>
      <c r="AF14" s="1188"/>
      <c r="AG14" s="1188"/>
      <c r="AH14" s="1188"/>
      <c r="AI14" s="1188"/>
      <c r="AJ14" s="1188"/>
      <c r="AK14" s="1188"/>
      <c r="AL14" s="1987"/>
      <c r="AM14" s="1824"/>
      <c r="AN14" s="1824"/>
      <c r="AO14" s="1824"/>
      <c r="AP14" s="1824"/>
      <c r="AQ14" s="1824"/>
      <c r="AR14" s="1824"/>
      <c r="AS14" s="1824"/>
      <c r="AT14" s="1824"/>
      <c r="AU14" s="1824"/>
      <c r="AV14" s="1824"/>
      <c r="AW14" s="1824"/>
      <c r="AX14" s="1824"/>
      <c r="AY14" s="1824"/>
      <c r="AZ14" s="1824"/>
      <c r="BA14" s="1824"/>
      <c r="BB14" s="1824"/>
      <c r="BC14" s="1824"/>
      <c r="BD14" s="1824"/>
      <c r="BE14" s="1824"/>
      <c r="BF14" s="1824"/>
      <c r="BG14" s="1637"/>
    </row>
    <row customHeight="1" ht="0.75">
      <c r="A15" s="1168" t="s">
        <v>1007</v>
      </c>
      <c r="B15" s="1168"/>
      <c r="C15" s="1168"/>
      <c r="D15" s="1162"/>
      <c r="E15" s="1172"/>
      <c r="F15" s="2593">
        <v>2026</v>
      </c>
      <c r="G15" s="2549"/>
      <c r="H15" s="2596" t="s">
        <v>371</v>
      </c>
      <c r="I15" s="2597"/>
      <c r="J15" s="2598"/>
      <c r="K15" s="2598"/>
      <c r="L15" s="2591"/>
      <c r="M15" s="2274"/>
      <c r="N15" s="2035"/>
      <c r="O15" s="2034"/>
      <c r="P15" s="2035"/>
      <c r="Q15" s="2035"/>
      <c r="R15" s="2035"/>
      <c r="S15" s="2035"/>
      <c r="T15" s="2035"/>
      <c r="U15" s="2035"/>
      <c r="V15" s="2035"/>
      <c r="W15" s="2035"/>
      <c r="X15" s="2035"/>
      <c r="Y15" s="2035"/>
      <c r="Z15" s="2035"/>
      <c r="AA15" s="2035"/>
      <c r="AB15" s="2035"/>
      <c r="AC15" s="2035"/>
      <c r="AD15" s="2035"/>
      <c r="AE15" s="2035"/>
      <c r="AF15" s="2595"/>
      <c r="AG15" s="2591"/>
      <c r="AH15" s="2591"/>
      <c r="AI15" s="2595"/>
      <c r="AJ15" s="2591"/>
      <c r="AK15" s="2591"/>
      <c r="AL15" s="1987"/>
      <c r="AM15" s="1824"/>
      <c r="AN15" s="1824"/>
      <c r="AO15" s="1824"/>
      <c r="AP15" s="1824"/>
      <c r="AQ15" s="1824"/>
      <c r="AR15" s="1824"/>
      <c r="AS15" s="1824"/>
      <c r="AT15" s="1824"/>
      <c r="AU15" s="1824"/>
      <c r="AV15" s="1824"/>
      <c r="AW15" s="1824"/>
      <c r="AX15" s="1824"/>
      <c r="AY15" s="1824"/>
      <c r="AZ15" s="1824"/>
      <c r="BA15" s="1824"/>
      <c r="BB15" s="1824"/>
      <c r="BC15" s="1824"/>
      <c r="BD15" s="1824"/>
      <c r="BE15" s="1824"/>
      <c r="BF15" s="1824"/>
      <c r="BG15" s="1637"/>
    </row>
    <row customHeight="1" ht="0.75">
      <c r="A16" s="1168" t="s">
        <v>1007</v>
      </c>
      <c r="B16" s="1168"/>
      <c r="C16" s="1168"/>
      <c r="D16" s="1162"/>
      <c r="E16" s="1172"/>
      <c r="F16" s="2593"/>
      <c r="G16" s="2549"/>
      <c r="H16" s="2596"/>
      <c r="I16" s="2597"/>
      <c r="J16" s="2598"/>
      <c r="K16" s="2598"/>
      <c r="L16" s="2591"/>
      <c r="M16" s="2274"/>
      <c r="N16" s="2599"/>
      <c r="O16" s="2600"/>
      <c r="P16" s="2535"/>
      <c r="Q16" s="2538"/>
      <c r="R16" s="2538"/>
      <c r="S16" s="2538"/>
      <c r="T16" s="2538"/>
      <c r="U16" s="2538"/>
      <c r="V16" s="2538"/>
      <c r="W16" s="2538"/>
      <c r="X16" s="2538"/>
      <c r="Y16" s="2538"/>
      <c r="Z16" s="2036"/>
      <c r="AA16" s="2037"/>
      <c r="AB16" s="2037"/>
      <c r="AC16" s="2038"/>
      <c r="AD16" s="2038"/>
      <c r="AE16" s="2039"/>
      <c r="AF16" s="2595"/>
      <c r="AG16" s="2591"/>
      <c r="AH16" s="2591"/>
      <c r="AI16" s="2595"/>
      <c r="AJ16" s="2591"/>
      <c r="AK16" s="2591"/>
      <c r="AL16" s="1987"/>
      <c r="AM16" s="1824"/>
      <c r="AN16" s="1824"/>
      <c r="AO16" s="1824"/>
      <c r="AP16" s="1824"/>
      <c r="AQ16" s="1824"/>
      <c r="AR16" s="1824"/>
      <c r="AS16" s="1824"/>
      <c r="AT16" s="1824"/>
      <c r="AU16" s="1824"/>
      <c r="AV16" s="1824"/>
      <c r="AW16" s="1824"/>
      <c r="AX16" s="1824"/>
      <c r="AY16" s="1824"/>
      <c r="AZ16" s="1824"/>
      <c r="BA16" s="1824"/>
      <c r="BB16" s="1824"/>
      <c r="BC16" s="1824"/>
      <c r="BD16" s="1824"/>
      <c r="BE16" s="1824"/>
      <c r="BF16" s="1824"/>
      <c r="BG16" s="1637"/>
    </row>
    <row customHeight="1" ht="0.75">
      <c r="A17" s="1168" t="s">
        <v>1007</v>
      </c>
      <c r="B17" s="1168"/>
      <c r="C17" s="1168"/>
      <c r="D17" s="1162"/>
      <c r="E17" s="1172"/>
      <c r="F17" s="2593"/>
      <c r="G17" s="2549"/>
      <c r="H17" s="2596"/>
      <c r="I17" s="2597"/>
      <c r="J17" s="2598"/>
      <c r="K17" s="2598"/>
      <c r="L17" s="2591"/>
      <c r="M17" s="2274"/>
      <c r="N17" s="2599"/>
      <c r="O17" s="2600"/>
      <c r="P17" s="2536"/>
      <c r="Q17" s="2538"/>
      <c r="R17" s="2538"/>
      <c r="S17" s="2538"/>
      <c r="T17" s="2538"/>
      <c r="U17" s="2538"/>
      <c r="V17" s="2538"/>
      <c r="W17" s="2538"/>
      <c r="X17" s="2538"/>
      <c r="Y17" s="2538"/>
      <c r="Z17" s="2040"/>
      <c r="AA17" s="2041"/>
      <c r="AB17" s="2042"/>
      <c r="AC17" s="2043"/>
      <c r="AD17" s="2042"/>
      <c r="AE17" s="2043"/>
      <c r="AF17" s="2595"/>
      <c r="AG17" s="2591"/>
      <c r="AH17" s="2591"/>
      <c r="AI17" s="2595"/>
      <c r="AJ17" s="2591"/>
      <c r="AK17" s="2591"/>
      <c r="AL17" s="1987"/>
      <c r="AM17" s="1824"/>
      <c r="AN17" s="1824"/>
      <c r="AO17" s="1824"/>
      <c r="AP17" s="1824"/>
      <c r="AQ17" s="1824"/>
      <c r="AR17" s="1824"/>
      <c r="AS17" s="1824"/>
      <c r="AT17" s="1824"/>
      <c r="AU17" s="1824"/>
      <c r="AV17" s="1824"/>
      <c r="AW17" s="1824"/>
      <c r="AX17" s="1824"/>
      <c r="AY17" s="1824"/>
      <c r="AZ17" s="1824"/>
      <c r="BA17" s="1824"/>
      <c r="BB17" s="1824"/>
      <c r="BC17" s="1824"/>
      <c r="BD17" s="1824"/>
      <c r="BE17" s="1824"/>
      <c r="BF17" s="1824"/>
      <c r="BG17" s="1637"/>
    </row>
    <row customHeight="1" ht="0.75">
      <c r="A18" s="1168" t="s">
        <v>1007</v>
      </c>
      <c r="B18" s="1168"/>
      <c r="C18" s="1168"/>
      <c r="D18" s="1162"/>
      <c r="E18" s="1172"/>
      <c r="F18" s="2593"/>
      <c r="G18" s="2549"/>
      <c r="H18" s="2596"/>
      <c r="I18" s="2597"/>
      <c r="J18" s="2598"/>
      <c r="K18" s="2598"/>
      <c r="L18" s="2591"/>
      <c r="M18" s="2274"/>
      <c r="N18" s="2599"/>
      <c r="O18" s="2600"/>
      <c r="P18" s="2537"/>
      <c r="Q18" s="2538"/>
      <c r="R18" s="2538"/>
      <c r="S18" s="2538"/>
      <c r="T18" s="2538"/>
      <c r="U18" s="2538"/>
      <c r="V18" s="2538"/>
      <c r="W18" s="2538"/>
      <c r="X18" s="2538"/>
      <c r="Y18" s="2538"/>
      <c r="Z18" s="2036"/>
      <c r="AA18" s="2037"/>
      <c r="AB18" s="2044"/>
      <c r="AC18" s="2038"/>
      <c r="AD18" s="2038"/>
      <c r="AE18" s="2045"/>
      <c r="AF18" s="2595"/>
      <c r="AG18" s="2591"/>
      <c r="AH18" s="2591"/>
      <c r="AI18" s="2595"/>
      <c r="AJ18" s="2591"/>
      <c r="AK18" s="2591"/>
      <c r="AL18" s="1987"/>
      <c r="AM18" s="1824"/>
      <c r="AN18" s="1824"/>
      <c r="AO18" s="1824"/>
      <c r="AP18" s="1824"/>
      <c r="AQ18" s="1824"/>
      <c r="AR18" s="1824"/>
      <c r="AS18" s="1824"/>
      <c r="AT18" s="1824"/>
      <c r="AU18" s="1824"/>
      <c r="AV18" s="1824"/>
      <c r="AW18" s="1824"/>
      <c r="AX18" s="1824"/>
      <c r="AY18" s="1824"/>
      <c r="AZ18" s="1824"/>
      <c r="BA18" s="1824"/>
      <c r="BB18" s="1824"/>
      <c r="BC18" s="1824"/>
      <c r="BD18" s="1824"/>
      <c r="BE18" s="1824"/>
      <c r="BF18" s="1824"/>
      <c r="BG18" s="1637"/>
    </row>
    <row customHeight="1" ht="0.75">
      <c r="A19" s="1168" t="s">
        <v>1007</v>
      </c>
      <c r="B19" s="1168"/>
      <c r="C19" s="1168"/>
      <c r="D19" s="1162"/>
      <c r="E19" s="1172"/>
      <c r="F19" s="2593"/>
      <c r="G19" s="2549"/>
      <c r="H19" s="2596"/>
      <c r="I19" s="2597"/>
      <c r="J19" s="2598"/>
      <c r="K19" s="2598"/>
      <c r="L19" s="2591"/>
      <c r="M19" s="2274"/>
      <c r="N19" s="2037"/>
      <c r="O19" s="2037"/>
      <c r="P19" s="2044"/>
      <c r="Q19" s="2037"/>
      <c r="R19" s="2037"/>
      <c r="S19" s="2037"/>
      <c r="T19" s="2037"/>
      <c r="U19" s="2037"/>
      <c r="V19" s="2037"/>
      <c r="W19" s="2037"/>
      <c r="X19" s="2037"/>
      <c r="Y19" s="2037"/>
      <c r="Z19" s="2037"/>
      <c r="AA19" s="2037"/>
      <c r="AB19" s="2037"/>
      <c r="AC19" s="2037"/>
      <c r="AD19" s="2037"/>
      <c r="AE19" s="2046"/>
      <c r="AF19" s="2595"/>
      <c r="AG19" s="2591"/>
      <c r="AH19" s="2591"/>
      <c r="AI19" s="2595"/>
      <c r="AJ19" s="2591"/>
      <c r="AK19" s="2591"/>
      <c r="AL19" s="1987"/>
      <c r="AM19" s="1824"/>
      <c r="AN19" s="1824"/>
      <c r="AO19" s="1824"/>
      <c r="AP19" s="1824"/>
      <c r="AQ19" s="1824"/>
      <c r="AR19" s="1824"/>
      <c r="AS19" s="1824"/>
      <c r="AT19" s="1824"/>
      <c r="AU19" s="1824"/>
      <c r="AV19" s="1824"/>
      <c r="AW19" s="1824"/>
      <c r="AX19" s="1824"/>
      <c r="AY19" s="1824"/>
      <c r="AZ19" s="1824"/>
      <c r="BA19" s="1824"/>
      <c r="BB19" s="1824"/>
      <c r="BC19" s="1824"/>
      <c r="BD19" s="1824"/>
      <c r="BE19" s="1824"/>
      <c r="BF19" s="1824"/>
      <c r="BG19" s="1637"/>
    </row>
    <row customHeight="1" ht="11.25">
      <c r="A20" s="1168" t="s">
        <v>1007</v>
      </c>
      <c r="B20" s="1168"/>
      <c r="C20" s="1168"/>
      <c r="D20" s="1162"/>
      <c r="E20" s="1172"/>
      <c r="F20" s="1830"/>
      <c r="G20" s="685" t="s">
        <v>682</v>
      </c>
      <c r="H20" s="2549" t="s">
        <v>106</v>
      </c>
      <c r="I20" s="2613"/>
      <c r="J20" s="2518"/>
      <c r="K20" s="2611" t="s">
        <v>1039</v>
      </c>
      <c r="L20" s="2150" t="s">
        <v>19</v>
      </c>
      <c r="M20" s="2151"/>
      <c r="N20" s="1985"/>
      <c r="O20" s="1179" t="s">
        <v>371</v>
      </c>
      <c r="P20" s="1180"/>
      <c r="Q20" s="1180"/>
      <c r="R20" s="1180"/>
      <c r="S20" s="1180"/>
      <c r="T20" s="1180"/>
      <c r="U20" s="1180"/>
      <c r="V20" s="1180"/>
      <c r="W20" s="1180"/>
      <c r="X20" s="1180"/>
      <c r="Y20" s="1180"/>
      <c r="Z20" s="1180"/>
      <c r="AA20" s="1180"/>
      <c r="AB20" s="1180"/>
      <c r="AC20" s="1180"/>
      <c r="AD20" s="1180"/>
      <c r="AE20" s="1180"/>
      <c r="AF20" s="2614">
        <v>3</v>
      </c>
      <c r="AG20" s="2615" t="s">
        <v>1040</v>
      </c>
      <c r="AH20" s="2615" t="s">
        <v>1041</v>
      </c>
      <c r="AI20" s="2614"/>
      <c r="AJ20" s="2615"/>
      <c r="AK20" s="2615"/>
      <c r="AL20" s="1987"/>
      <c r="AM20" s="1824"/>
      <c r="AN20" s="1824"/>
      <c r="AO20" s="1824"/>
      <c r="AP20" s="1824"/>
      <c r="AQ20" s="1824"/>
      <c r="AR20" s="1824"/>
      <c r="AS20" s="1824"/>
      <c r="AT20" s="1824"/>
      <c r="AU20" s="1824"/>
      <c r="AV20" s="1824"/>
      <c r="AW20" s="1824"/>
      <c r="AX20" s="1824"/>
      <c r="AY20" s="1824"/>
      <c r="AZ20" s="1824"/>
      <c r="BA20" s="1824"/>
      <c r="BB20" s="1824"/>
      <c r="BC20" s="1824"/>
      <c r="BD20" s="1824"/>
      <c r="BE20" s="1824"/>
      <c r="BF20" s="1824"/>
      <c r="BG20" s="1637"/>
    </row>
    <row customHeight="1" ht="11.25">
      <c r="A21" s="1168" t="s">
        <v>1007</v>
      </c>
      <c r="B21" s="1168"/>
      <c r="C21" s="1168"/>
      <c r="D21" s="1162"/>
      <c r="E21" s="1172"/>
      <c r="F21" s="1830"/>
      <c r="G21" s="1831"/>
      <c r="H21" s="2549" t="s">
        <v>371</v>
      </c>
      <c r="I21" s="2613"/>
      <c r="J21" s="2518"/>
      <c r="K21" s="2611"/>
      <c r="L21" s="2150"/>
      <c r="M21" s="2151"/>
      <c r="N21" s="2539"/>
      <c r="O21" s="2616">
        <v>1</v>
      </c>
      <c r="P21" s="2541" t="s">
        <v>65</v>
      </c>
      <c r="Q21" s="2657" t="s">
        <v>1042</v>
      </c>
      <c r="R21" s="2658" t="s">
        <v>1043</v>
      </c>
      <c r="S21" s="2658" t="s">
        <v>1044</v>
      </c>
      <c r="T21" s="2658" t="s">
        <v>1044</v>
      </c>
      <c r="U21" s="2658" t="s">
        <v>1045</v>
      </c>
      <c r="V21" s="2658" t="s">
        <v>1046</v>
      </c>
      <c r="W21" s="2658" t="s">
        <v>1047</v>
      </c>
      <c r="X21" s="2658" t="s">
        <v>1048</v>
      </c>
      <c r="Y21" s="2658" t="s">
        <v>765</v>
      </c>
      <c r="Z21" s="1177"/>
      <c r="AA21" s="1178"/>
      <c r="AB21" s="1178"/>
      <c r="AC21" s="1182"/>
      <c r="AD21" s="1182"/>
      <c r="AE21" s="1183"/>
      <c r="AF21" s="2614"/>
      <c r="AG21" s="2615"/>
      <c r="AH21" s="2615"/>
      <c r="AI21" s="2614"/>
      <c r="AJ21" s="2615"/>
      <c r="AK21" s="2615"/>
      <c r="AL21" s="1987"/>
      <c r="AM21" s="1824"/>
      <c r="AN21" s="1824"/>
      <c r="AO21" s="1824"/>
      <c r="AP21" s="1824"/>
      <c r="AQ21" s="1824"/>
      <c r="AR21" s="1824"/>
      <c r="AS21" s="1824"/>
      <c r="AT21" s="1824"/>
      <c r="AU21" s="1824"/>
      <c r="AV21" s="1824"/>
      <c r="AW21" s="1824"/>
      <c r="AX21" s="1824"/>
      <c r="AY21" s="1824"/>
      <c r="AZ21" s="1824"/>
      <c r="BA21" s="1824"/>
      <c r="BB21" s="1824"/>
      <c r="BC21" s="1824"/>
      <c r="BD21" s="1824"/>
      <c r="BE21" s="1824"/>
      <c r="BF21" s="1824"/>
      <c r="BG21" s="1637"/>
    </row>
    <row customHeight="1" ht="14.25">
      <c r="A22" s="1168" t="s">
        <v>1007</v>
      </c>
      <c r="B22" s="1168"/>
      <c r="C22" s="1168"/>
      <c r="D22" s="1162"/>
      <c r="E22" s="1172"/>
      <c r="F22" s="1830"/>
      <c r="G22" s="1831"/>
      <c r="H22" s="2549" t="s">
        <v>371</v>
      </c>
      <c r="I22" s="2613"/>
      <c r="J22" s="2518"/>
      <c r="K22" s="2611"/>
      <c r="L22" s="2150"/>
      <c r="M22" s="2151"/>
      <c r="N22" s="2539"/>
      <c r="O22" s="2616"/>
      <c r="P22" s="2542"/>
      <c r="Q22" s="2657"/>
      <c r="R22" s="2544"/>
      <c r="S22" s="2545"/>
      <c r="T22" s="2544"/>
      <c r="U22" s="2544"/>
      <c r="V22" s="2544"/>
      <c r="W22" s="2544"/>
      <c r="X22" s="2544"/>
      <c r="Y22" s="2544"/>
      <c r="Z22" s="1829"/>
      <c r="AA22" s="1795">
        <v>1</v>
      </c>
      <c r="AB22" s="1181" t="s">
        <v>1049</v>
      </c>
      <c r="AC22" s="1171">
        <v>13881.552</v>
      </c>
      <c r="AD22" s="1181" t="str">
        <f>AB22</f>
        <v>     Прочие амортизационные отчисления</v>
      </c>
      <c r="AE22" s="1171"/>
      <c r="AF22" s="2614"/>
      <c r="AG22" s="2615"/>
      <c r="AH22" s="2615"/>
      <c r="AI22" s="2614"/>
      <c r="AJ22" s="2615"/>
      <c r="AK22" s="2615"/>
      <c r="AL22" s="1987"/>
      <c r="AM22" s="1824"/>
      <c r="AN22" s="1824"/>
      <c r="AO22" s="1824"/>
      <c r="AP22" s="1824"/>
      <c r="AQ22" s="1824"/>
      <c r="AR22" s="1824"/>
      <c r="AS22" s="1824"/>
      <c r="AT22" s="1824"/>
      <c r="AU22" s="1824"/>
      <c r="AV22" s="1824"/>
      <c r="AW22" s="1824"/>
      <c r="AX22" s="1824"/>
      <c r="AY22" s="1824"/>
      <c r="AZ22" s="1824"/>
      <c r="BA22" s="1824"/>
      <c r="BB22" s="1824"/>
      <c r="BC22" s="1824"/>
      <c r="BD22" s="1824"/>
      <c r="BE22" s="1824"/>
      <c r="BF22" s="1824"/>
      <c r="BG22" s="1637"/>
    </row>
    <row customHeight="1" ht="11.25">
      <c r="A23" s="1168" t="s">
        <v>1007</v>
      </c>
      <c r="B23" s="1168"/>
      <c r="C23" s="1168"/>
      <c r="D23" s="1162"/>
      <c r="E23" s="1172"/>
      <c r="F23" s="1831"/>
      <c r="G23" s="1831"/>
      <c r="H23" s="1831"/>
      <c r="I23" s="1831"/>
      <c r="J23" s="1831"/>
      <c r="K23" s="1831"/>
      <c r="L23" s="1831"/>
      <c r="M23" s="1831"/>
      <c r="N23" s="1831"/>
      <c r="O23" s="1831"/>
      <c r="P23" s="1831"/>
      <c r="Q23" s="1831"/>
      <c r="R23" s="1831"/>
      <c r="S23" s="1831"/>
      <c r="T23" s="1831"/>
      <c r="U23" s="1831"/>
      <c r="V23" s="1831"/>
      <c r="W23" s="1831"/>
      <c r="X23" s="1831"/>
      <c r="Y23" s="1831"/>
      <c r="Z23" s="685" t="s">
        <v>682</v>
      </c>
      <c r="AA23" s="1815" t="s">
        <v>107</v>
      </c>
      <c r="AB23" s="1181" t="s">
        <v>1050</v>
      </c>
      <c r="AC23" s="1171">
        <v>319.585</v>
      </c>
      <c r="AD23" s="1181" t="str">
        <f>AB23</f>
        <v>  Прочие собственные средства</v>
      </c>
      <c r="AE23" s="1171"/>
      <c r="AF23" s="2088"/>
      <c r="AG23" s="1760"/>
      <c r="AH23" s="1760"/>
      <c r="AI23" s="2088"/>
      <c r="AJ23" s="1760"/>
      <c r="AK23" s="1986"/>
      <c r="AL23" s="1987"/>
      <c r="AM23" s="1824"/>
      <c r="AN23" s="1824"/>
      <c r="AO23" s="1824"/>
      <c r="AP23" s="1824"/>
      <c r="AQ23" s="1824"/>
      <c r="AR23" s="1824"/>
      <c r="AS23" s="1824"/>
      <c r="AT23" s="1824"/>
      <c r="AU23" s="1824"/>
      <c r="AV23" s="1824"/>
      <c r="AW23" s="1824"/>
      <c r="AX23" s="1824"/>
      <c r="AY23" s="1824"/>
      <c r="AZ23" s="1824"/>
      <c r="BA23" s="1824"/>
      <c r="BB23" s="1824"/>
      <c r="BC23" s="1824"/>
      <c r="BD23" s="1824"/>
      <c r="BE23" s="1824"/>
      <c r="BF23" s="1824"/>
      <c r="BG23" s="1637"/>
    </row>
    <row customHeight="1" ht="11.25">
      <c r="A24" s="1168" t="s">
        <v>1007</v>
      </c>
      <c r="B24" s="1168"/>
      <c r="C24" s="1168"/>
      <c r="D24" s="1162"/>
      <c r="E24" s="1172"/>
      <c r="F24" s="1830"/>
      <c r="G24" s="1831"/>
      <c r="H24" s="2549" t="s">
        <v>371</v>
      </c>
      <c r="I24" s="2613"/>
      <c r="J24" s="2518"/>
      <c r="K24" s="2611"/>
      <c r="L24" s="2150"/>
      <c r="M24" s="2151"/>
      <c r="N24" s="2539"/>
      <c r="O24" s="2616"/>
      <c r="P24" s="2543"/>
      <c r="Q24" s="2657"/>
      <c r="R24" s="2544"/>
      <c r="S24" s="2545"/>
      <c r="T24" s="2544"/>
      <c r="U24" s="2544"/>
      <c r="V24" s="2544"/>
      <c r="W24" s="2544"/>
      <c r="X24" s="2544"/>
      <c r="Y24" s="2544"/>
      <c r="Z24" s="1177"/>
      <c r="AA24" s="1178"/>
      <c r="AB24" s="1243" t="s">
        <v>1051</v>
      </c>
      <c r="AC24" s="1182"/>
      <c r="AD24" s="1182"/>
      <c r="AE24" s="1184"/>
      <c r="AF24" s="2614"/>
      <c r="AG24" s="2615"/>
      <c r="AH24" s="2615"/>
      <c r="AI24" s="2614"/>
      <c r="AJ24" s="2615"/>
      <c r="AK24" s="2615"/>
      <c r="AL24" s="1987"/>
      <c r="AM24" s="1824"/>
      <c r="AN24" s="1824"/>
      <c r="AO24" s="1824"/>
      <c r="AP24" s="1824"/>
      <c r="AQ24" s="1824"/>
      <c r="AR24" s="1824"/>
      <c r="AS24" s="1824"/>
      <c r="AT24" s="1824"/>
      <c r="AU24" s="1824"/>
      <c r="AV24" s="1824"/>
      <c r="AW24" s="1824"/>
      <c r="AX24" s="1824"/>
      <c r="AY24" s="1824"/>
      <c r="AZ24" s="1824"/>
      <c r="BA24" s="1824"/>
      <c r="BB24" s="1824"/>
      <c r="BC24" s="1824"/>
      <c r="BD24" s="1824"/>
      <c r="BE24" s="1824"/>
      <c r="BF24" s="1824"/>
      <c r="BG24" s="1637"/>
    </row>
    <row customHeight="1" ht="11.25">
      <c r="A25" s="1168" t="s">
        <v>1007</v>
      </c>
      <c r="B25" s="1168"/>
      <c r="C25" s="1168"/>
      <c r="D25" s="1162"/>
      <c r="E25" s="1172"/>
      <c r="F25" s="1830"/>
      <c r="G25" s="1831"/>
      <c r="H25" s="2549" t="s">
        <v>371</v>
      </c>
      <c r="I25" s="2613"/>
      <c r="J25" s="2518"/>
      <c r="K25" s="2611"/>
      <c r="L25" s="2150"/>
      <c r="M25" s="2151"/>
      <c r="N25" s="1177"/>
      <c r="O25" s="1178"/>
      <c r="P25" s="1170" t="s">
        <v>1052</v>
      </c>
      <c r="Q25" s="1178"/>
      <c r="R25" s="1178"/>
      <c r="S25" s="1178"/>
      <c r="T25" s="1178"/>
      <c r="U25" s="1178"/>
      <c r="V25" s="1178"/>
      <c r="W25" s="1178"/>
      <c r="X25" s="1178"/>
      <c r="Y25" s="1178"/>
      <c r="Z25" s="1178"/>
      <c r="AA25" s="1178"/>
      <c r="AB25" s="1178"/>
      <c r="AC25" s="1178"/>
      <c r="AD25" s="1178"/>
      <c r="AE25" s="1185"/>
      <c r="AF25" s="2614"/>
      <c r="AG25" s="2615"/>
      <c r="AH25" s="2615"/>
      <c r="AI25" s="2614"/>
      <c r="AJ25" s="2615"/>
      <c r="AK25" s="2615"/>
      <c r="AL25" s="1987"/>
      <c r="AM25" s="1824"/>
      <c r="AN25" s="1824"/>
      <c r="AO25" s="1824"/>
      <c r="AP25" s="1824"/>
      <c r="AQ25" s="1824"/>
      <c r="AR25" s="1824"/>
      <c r="AS25" s="1824"/>
      <c r="AT25" s="1824"/>
      <c r="AU25" s="1824"/>
      <c r="AV25" s="1824"/>
      <c r="AW25" s="1824"/>
      <c r="AX25" s="1824"/>
      <c r="AY25" s="1824"/>
      <c r="AZ25" s="1824"/>
      <c r="BA25" s="1824"/>
      <c r="BB25" s="1824"/>
      <c r="BC25" s="1824"/>
      <c r="BD25" s="1824"/>
      <c r="BE25" s="1824"/>
      <c r="BF25" s="1824"/>
      <c r="BG25" s="1637"/>
    </row>
    <row customHeight="1" ht="11.25">
      <c r="A26" s="1168" t="s">
        <v>1007</v>
      </c>
      <c r="B26" s="1168"/>
      <c r="C26" s="1168"/>
      <c r="D26" s="1162"/>
      <c r="E26" s="1172"/>
      <c r="F26" s="1830"/>
      <c r="G26" s="685" t="s">
        <v>682</v>
      </c>
      <c r="H26" s="2549" t="s">
        <v>107</v>
      </c>
      <c r="I26" s="2613"/>
      <c r="J26" s="2518"/>
      <c r="K26" s="2611" t="s">
        <v>1053</v>
      </c>
      <c r="L26" s="2150" t="s">
        <v>19</v>
      </c>
      <c r="M26" s="2151"/>
      <c r="N26" s="1985"/>
      <c r="O26" s="1179" t="s">
        <v>371</v>
      </c>
      <c r="P26" s="1180"/>
      <c r="Q26" s="1180"/>
      <c r="R26" s="1180"/>
      <c r="S26" s="1180"/>
      <c r="T26" s="1180"/>
      <c r="U26" s="1180"/>
      <c r="V26" s="1180"/>
      <c r="W26" s="1180"/>
      <c r="X26" s="1180"/>
      <c r="Y26" s="1180"/>
      <c r="Z26" s="1180"/>
      <c r="AA26" s="1180"/>
      <c r="AB26" s="1180"/>
      <c r="AC26" s="1180"/>
      <c r="AD26" s="1180"/>
      <c r="AE26" s="1180"/>
      <c r="AF26" s="2614">
        <v>1</v>
      </c>
      <c r="AG26" s="2615" t="s">
        <v>1040</v>
      </c>
      <c r="AH26" s="2615" t="s">
        <v>1054</v>
      </c>
      <c r="AI26" s="2614"/>
      <c r="AJ26" s="2615"/>
      <c r="AK26" s="2615"/>
      <c r="AL26" s="1987"/>
      <c r="AM26" s="1824"/>
      <c r="AN26" s="1824"/>
      <c r="AO26" s="1824"/>
      <c r="AP26" s="1824"/>
      <c r="AQ26" s="1824"/>
      <c r="AR26" s="1824"/>
      <c r="AS26" s="1824"/>
      <c r="AT26" s="1824"/>
      <c r="AU26" s="1824"/>
      <c r="AV26" s="1824"/>
      <c r="AW26" s="1824"/>
      <c r="AX26" s="1824"/>
      <c r="AY26" s="1824"/>
      <c r="AZ26" s="1824"/>
      <c r="BA26" s="1824"/>
      <c r="BB26" s="1824"/>
      <c r="BC26" s="1824"/>
      <c r="BD26" s="1824"/>
      <c r="BE26" s="1824"/>
      <c r="BF26" s="1824"/>
      <c r="BG26" s="1637"/>
    </row>
    <row customHeight="1" ht="11.25">
      <c r="A27" s="1168" t="s">
        <v>1007</v>
      </c>
      <c r="B27" s="1168"/>
      <c r="C27" s="1168"/>
      <c r="D27" s="1162"/>
      <c r="E27" s="1172"/>
      <c r="F27" s="1830"/>
      <c r="G27" s="1831"/>
      <c r="H27" s="2549" t="s">
        <v>106</v>
      </c>
      <c r="I27" s="2613"/>
      <c r="J27" s="2518"/>
      <c r="K27" s="2611"/>
      <c r="L27" s="2150"/>
      <c r="M27" s="2151"/>
      <c r="N27" s="2539"/>
      <c r="O27" s="2616">
        <v>1</v>
      </c>
      <c r="P27" s="2541" t="s">
        <v>65</v>
      </c>
      <c r="Q27" s="2657" t="s">
        <v>1055</v>
      </c>
      <c r="R27" s="2658" t="s">
        <v>1056</v>
      </c>
      <c r="S27" s="2658" t="s">
        <v>1044</v>
      </c>
      <c r="T27" s="2658" t="s">
        <v>1044</v>
      </c>
      <c r="U27" s="2658" t="s">
        <v>1045</v>
      </c>
      <c r="V27" s="2658" t="s">
        <v>1046</v>
      </c>
      <c r="W27" s="2658" t="s">
        <v>1047</v>
      </c>
      <c r="X27" s="2658" t="s">
        <v>1057</v>
      </c>
      <c r="Y27" s="2658" t="s">
        <v>765</v>
      </c>
      <c r="Z27" s="1177"/>
      <c r="AA27" s="1178"/>
      <c r="AB27" s="1178"/>
      <c r="AC27" s="1182"/>
      <c r="AD27" s="1182"/>
      <c r="AE27" s="1183"/>
      <c r="AF27" s="2614"/>
      <c r="AG27" s="2615"/>
      <c r="AH27" s="2615"/>
      <c r="AI27" s="2614"/>
      <c r="AJ27" s="2615"/>
      <c r="AK27" s="2615"/>
      <c r="AL27" s="1987"/>
      <c r="AM27" s="1824"/>
      <c r="AN27" s="1824"/>
      <c r="AO27" s="1824"/>
      <c r="AP27" s="1824"/>
      <c r="AQ27" s="1824"/>
      <c r="AR27" s="1824"/>
      <c r="AS27" s="1824"/>
      <c r="AT27" s="1824"/>
      <c r="AU27" s="1824"/>
      <c r="AV27" s="1824"/>
      <c r="AW27" s="1824"/>
      <c r="AX27" s="1824"/>
      <c r="AY27" s="1824"/>
      <c r="AZ27" s="1824"/>
      <c r="BA27" s="1824"/>
      <c r="BB27" s="1824"/>
      <c r="BC27" s="1824"/>
      <c r="BD27" s="1824"/>
      <c r="BE27" s="1824"/>
      <c r="BF27" s="1824"/>
      <c r="BG27" s="1637"/>
    </row>
    <row customHeight="1" ht="11.25">
      <c r="A28" s="1168" t="s">
        <v>1007</v>
      </c>
      <c r="B28" s="1168"/>
      <c r="C28" s="1168"/>
      <c r="D28" s="1162"/>
      <c r="E28" s="1172"/>
      <c r="F28" s="1830"/>
      <c r="G28" s="1831"/>
      <c r="H28" s="2549" t="s">
        <v>106</v>
      </c>
      <c r="I28" s="2613"/>
      <c r="J28" s="2518"/>
      <c r="K28" s="2611"/>
      <c r="L28" s="2150"/>
      <c r="M28" s="2151"/>
      <c r="N28" s="2539"/>
      <c r="O28" s="2616"/>
      <c r="P28" s="2542"/>
      <c r="Q28" s="2657"/>
      <c r="R28" s="2544"/>
      <c r="S28" s="2545"/>
      <c r="T28" s="2544"/>
      <c r="U28" s="2544"/>
      <c r="V28" s="2544"/>
      <c r="W28" s="2544"/>
      <c r="X28" s="2544"/>
      <c r="Y28" s="2544"/>
      <c r="Z28" s="1829"/>
      <c r="AA28" s="1795">
        <v>1</v>
      </c>
      <c r="AB28" s="1181" t="s">
        <v>1049</v>
      </c>
      <c r="AC28" s="1171">
        <v>511.477</v>
      </c>
      <c r="AD28" s="1181" t="str">
        <f>AB28</f>
        <v>     Прочие амортизационные отчисления</v>
      </c>
      <c r="AE28" s="1171"/>
      <c r="AF28" s="2614"/>
      <c r="AG28" s="2615"/>
      <c r="AH28" s="2615"/>
      <c r="AI28" s="2614"/>
      <c r="AJ28" s="2615"/>
      <c r="AK28" s="2615"/>
      <c r="AL28" s="1987"/>
      <c r="AM28" s="1824"/>
      <c r="AN28" s="1824"/>
      <c r="AO28" s="1824"/>
      <c r="AP28" s="1824"/>
      <c r="AQ28" s="1824"/>
      <c r="AR28" s="1824"/>
      <c r="AS28" s="1824"/>
      <c r="AT28" s="1824"/>
      <c r="AU28" s="1824"/>
      <c r="AV28" s="1824"/>
      <c r="AW28" s="1824"/>
      <c r="AX28" s="1824"/>
      <c r="AY28" s="1824"/>
      <c r="AZ28" s="1824"/>
      <c r="BA28" s="1824"/>
      <c r="BB28" s="1824"/>
      <c r="BC28" s="1824"/>
      <c r="BD28" s="1824"/>
      <c r="BE28" s="1824"/>
      <c r="BF28" s="1824"/>
      <c r="BG28" s="1637"/>
    </row>
    <row customHeight="1" ht="11.25">
      <c r="A29" s="1168" t="s">
        <v>1007</v>
      </c>
      <c r="B29" s="1168"/>
      <c r="C29" s="1168"/>
      <c r="D29" s="1162"/>
      <c r="E29" s="1172"/>
      <c r="F29" s="1830"/>
      <c r="G29" s="1831"/>
      <c r="H29" s="2549" t="s">
        <v>106</v>
      </c>
      <c r="I29" s="2613"/>
      <c r="J29" s="2518"/>
      <c r="K29" s="2611"/>
      <c r="L29" s="2150"/>
      <c r="M29" s="2151"/>
      <c r="N29" s="2539"/>
      <c r="O29" s="2616"/>
      <c r="P29" s="2543"/>
      <c r="Q29" s="2657"/>
      <c r="R29" s="2544"/>
      <c r="S29" s="2545"/>
      <c r="T29" s="2544"/>
      <c r="U29" s="2544"/>
      <c r="V29" s="2544"/>
      <c r="W29" s="2544"/>
      <c r="X29" s="2544"/>
      <c r="Y29" s="2544"/>
      <c r="Z29" s="1177"/>
      <c r="AA29" s="1178"/>
      <c r="AB29" s="1243" t="s">
        <v>1051</v>
      </c>
      <c r="AC29" s="1182"/>
      <c r="AD29" s="1182"/>
      <c r="AE29" s="1184"/>
      <c r="AF29" s="2614"/>
      <c r="AG29" s="2615"/>
      <c r="AH29" s="2615"/>
      <c r="AI29" s="2614"/>
      <c r="AJ29" s="2615"/>
      <c r="AK29" s="2615"/>
      <c r="AL29" s="1987"/>
      <c r="AM29" s="1824"/>
      <c r="AN29" s="1824"/>
      <c r="AO29" s="1824"/>
      <c r="AP29" s="1824"/>
      <c r="AQ29" s="1824"/>
      <c r="AR29" s="1824"/>
      <c r="AS29" s="1824"/>
      <c r="AT29" s="1824"/>
      <c r="AU29" s="1824"/>
      <c r="AV29" s="1824"/>
      <c r="AW29" s="1824"/>
      <c r="AX29" s="1824"/>
      <c r="AY29" s="1824"/>
      <c r="AZ29" s="1824"/>
      <c r="BA29" s="1824"/>
      <c r="BB29" s="1824"/>
      <c r="BC29" s="1824"/>
      <c r="BD29" s="1824"/>
      <c r="BE29" s="1824"/>
      <c r="BF29" s="1824"/>
      <c r="BG29" s="1637"/>
    </row>
    <row customHeight="1" ht="11.25">
      <c r="A30" s="1168" t="s">
        <v>1007</v>
      </c>
      <c r="B30" s="1168"/>
      <c r="C30" s="1168"/>
      <c r="D30" s="1162"/>
      <c r="E30" s="1172"/>
      <c r="F30" s="1830"/>
      <c r="G30" s="1831"/>
      <c r="H30" s="2549" t="s">
        <v>106</v>
      </c>
      <c r="I30" s="2613"/>
      <c r="J30" s="2518"/>
      <c r="K30" s="2611"/>
      <c r="L30" s="2150"/>
      <c r="M30" s="2151"/>
      <c r="N30" s="1177"/>
      <c r="O30" s="1178"/>
      <c r="P30" s="1170" t="s">
        <v>1052</v>
      </c>
      <c r="Q30" s="1178"/>
      <c r="R30" s="1178"/>
      <c r="S30" s="1178"/>
      <c r="T30" s="1178"/>
      <c r="U30" s="1178"/>
      <c r="V30" s="1178"/>
      <c r="W30" s="1178"/>
      <c r="X30" s="1178"/>
      <c r="Y30" s="1178"/>
      <c r="Z30" s="1178"/>
      <c r="AA30" s="1178"/>
      <c r="AB30" s="1178"/>
      <c r="AC30" s="1178"/>
      <c r="AD30" s="1178"/>
      <c r="AE30" s="1185"/>
      <c r="AF30" s="2614"/>
      <c r="AG30" s="2615"/>
      <c r="AH30" s="2615"/>
      <c r="AI30" s="2614"/>
      <c r="AJ30" s="2615"/>
      <c r="AK30" s="2615"/>
      <c r="AL30" s="1987"/>
      <c r="AM30" s="1824"/>
      <c r="AN30" s="1824"/>
      <c r="AO30" s="1824"/>
      <c r="AP30" s="1824"/>
      <c r="AQ30" s="1824"/>
      <c r="AR30" s="1824"/>
      <c r="AS30" s="1824"/>
      <c r="AT30" s="1824"/>
      <c r="AU30" s="1824"/>
      <c r="AV30" s="1824"/>
      <c r="AW30" s="1824"/>
      <c r="AX30" s="1824"/>
      <c r="AY30" s="1824"/>
      <c r="AZ30" s="1824"/>
      <c r="BA30" s="1824"/>
      <c r="BB30" s="1824"/>
      <c r="BC30" s="1824"/>
      <c r="BD30" s="1824"/>
      <c r="BE30" s="1824"/>
      <c r="BF30" s="1824"/>
      <c r="BG30" s="1637"/>
    </row>
    <row customHeight="1" ht="11.25">
      <c r="A31" s="1168" t="s">
        <v>1007</v>
      </c>
      <c r="B31" s="1168"/>
      <c r="C31" s="1168"/>
      <c r="D31" s="1162"/>
      <c r="E31" s="1172"/>
      <c r="F31" s="1830"/>
      <c r="G31" s="685" t="s">
        <v>682</v>
      </c>
      <c r="H31" s="2549" t="s">
        <v>90</v>
      </c>
      <c r="I31" s="2613"/>
      <c r="J31" s="2518"/>
      <c r="K31" s="2611" t="s">
        <v>1058</v>
      </c>
      <c r="L31" s="2150" t="s">
        <v>19</v>
      </c>
      <c r="M31" s="2151"/>
      <c r="N31" s="1985"/>
      <c r="O31" s="1179" t="s">
        <v>371</v>
      </c>
      <c r="P31" s="1180"/>
      <c r="Q31" s="1180"/>
      <c r="R31" s="1180"/>
      <c r="S31" s="1180"/>
      <c r="T31" s="1180"/>
      <c r="U31" s="1180"/>
      <c r="V31" s="1180"/>
      <c r="W31" s="1180"/>
      <c r="X31" s="1180"/>
      <c r="Y31" s="1180"/>
      <c r="Z31" s="1180"/>
      <c r="AA31" s="1180"/>
      <c r="AB31" s="1180"/>
      <c r="AC31" s="1180"/>
      <c r="AD31" s="1180"/>
      <c r="AE31" s="1180"/>
      <c r="AF31" s="2614">
        <v>2</v>
      </c>
      <c r="AG31" s="2615" t="s">
        <v>1040</v>
      </c>
      <c r="AH31" s="2615" t="s">
        <v>1059</v>
      </c>
      <c r="AI31" s="2614"/>
      <c r="AJ31" s="2615"/>
      <c r="AK31" s="2615"/>
      <c r="AL31" s="1987"/>
      <c r="AM31" s="1824"/>
      <c r="AN31" s="1824"/>
      <c r="AO31" s="1824"/>
      <c r="AP31" s="1824"/>
      <c r="AQ31" s="1824"/>
      <c r="AR31" s="1824"/>
      <c r="AS31" s="1824"/>
      <c r="AT31" s="1824"/>
      <c r="AU31" s="1824"/>
      <c r="AV31" s="1824"/>
      <c r="AW31" s="1824"/>
      <c r="AX31" s="1824"/>
      <c r="AY31" s="1824"/>
      <c r="AZ31" s="1824"/>
      <c r="BA31" s="1824"/>
      <c r="BB31" s="1824"/>
      <c r="BC31" s="1824"/>
      <c r="BD31" s="1824"/>
      <c r="BE31" s="1824"/>
      <c r="BF31" s="1824"/>
      <c r="BG31" s="1637"/>
    </row>
    <row customHeight="1" ht="11.25">
      <c r="A32" s="1168" t="s">
        <v>1007</v>
      </c>
      <c r="B32" s="1168"/>
      <c r="C32" s="1168"/>
      <c r="D32" s="1162"/>
      <c r="E32" s="1172"/>
      <c r="F32" s="1830"/>
      <c r="G32" s="1831"/>
      <c r="H32" s="2549" t="s">
        <v>107</v>
      </c>
      <c r="I32" s="2613"/>
      <c r="J32" s="2518"/>
      <c r="K32" s="2611"/>
      <c r="L32" s="2150"/>
      <c r="M32" s="2151"/>
      <c r="N32" s="2539"/>
      <c r="O32" s="2616">
        <v>1</v>
      </c>
      <c r="P32" s="2541" t="s">
        <v>65</v>
      </c>
      <c r="Q32" s="2657" t="s">
        <v>1055</v>
      </c>
      <c r="R32" s="2658" t="s">
        <v>1056</v>
      </c>
      <c r="S32" s="2658" t="s">
        <v>1044</v>
      </c>
      <c r="T32" s="2658" t="s">
        <v>1044</v>
      </c>
      <c r="U32" s="2658" t="s">
        <v>1045</v>
      </c>
      <c r="V32" s="2658" t="s">
        <v>1046</v>
      </c>
      <c r="W32" s="2658" t="s">
        <v>1047</v>
      </c>
      <c r="X32" s="2658" t="s">
        <v>1057</v>
      </c>
      <c r="Y32" s="2658" t="s">
        <v>765</v>
      </c>
      <c r="Z32" s="1177"/>
      <c r="AA32" s="1178"/>
      <c r="AB32" s="1178"/>
      <c r="AC32" s="1182"/>
      <c r="AD32" s="1182"/>
      <c r="AE32" s="1183"/>
      <c r="AF32" s="2614"/>
      <c r="AG32" s="2615"/>
      <c r="AH32" s="2615"/>
      <c r="AI32" s="2614"/>
      <c r="AJ32" s="2615"/>
      <c r="AK32" s="2615"/>
      <c r="AL32" s="1987"/>
      <c r="AM32" s="1824"/>
      <c r="AN32" s="1824"/>
      <c r="AO32" s="1824"/>
      <c r="AP32" s="1824"/>
      <c r="AQ32" s="1824"/>
      <c r="AR32" s="1824"/>
      <c r="AS32" s="1824"/>
      <c r="AT32" s="1824"/>
      <c r="AU32" s="1824"/>
      <c r="AV32" s="1824"/>
      <c r="AW32" s="1824"/>
      <c r="AX32" s="1824"/>
      <c r="AY32" s="1824"/>
      <c r="AZ32" s="1824"/>
      <c r="BA32" s="1824"/>
      <c r="BB32" s="1824"/>
      <c r="BC32" s="1824"/>
      <c r="BD32" s="1824"/>
      <c r="BE32" s="1824"/>
      <c r="BF32" s="1824"/>
      <c r="BG32" s="1637"/>
    </row>
    <row customHeight="1" ht="11.25">
      <c r="A33" s="1168" t="s">
        <v>1007</v>
      </c>
      <c r="B33" s="1168"/>
      <c r="C33" s="1168"/>
      <c r="D33" s="1162"/>
      <c r="E33" s="1172"/>
      <c r="F33" s="1830"/>
      <c r="G33" s="1831"/>
      <c r="H33" s="2549" t="s">
        <v>107</v>
      </c>
      <c r="I33" s="2613"/>
      <c r="J33" s="2518"/>
      <c r="K33" s="2611"/>
      <c r="L33" s="2150"/>
      <c r="M33" s="2151"/>
      <c r="N33" s="2539"/>
      <c r="O33" s="2616"/>
      <c r="P33" s="2542"/>
      <c r="Q33" s="2657"/>
      <c r="R33" s="2544"/>
      <c r="S33" s="2545"/>
      <c r="T33" s="2544"/>
      <c r="U33" s="2544"/>
      <c r="V33" s="2544"/>
      <c r="W33" s="2544"/>
      <c r="X33" s="2544"/>
      <c r="Y33" s="2544"/>
      <c r="Z33" s="1829"/>
      <c r="AA33" s="1795">
        <v>1</v>
      </c>
      <c r="AB33" s="1181" t="s">
        <v>1049</v>
      </c>
      <c r="AC33" s="1171">
        <v>859.81</v>
      </c>
      <c r="AD33" s="1181" t="str">
        <f>AB33</f>
        <v>     Прочие амортизационные отчисления</v>
      </c>
      <c r="AE33" s="1171"/>
      <c r="AF33" s="2614"/>
      <c r="AG33" s="2615"/>
      <c r="AH33" s="2615"/>
      <c r="AI33" s="2614"/>
      <c r="AJ33" s="2615"/>
      <c r="AK33" s="2615"/>
      <c r="AL33" s="1987"/>
      <c r="AM33" s="1824"/>
      <c r="AN33" s="1824"/>
      <c r="AO33" s="1824"/>
      <c r="AP33" s="1824"/>
      <c r="AQ33" s="1824"/>
      <c r="AR33" s="1824"/>
      <c r="AS33" s="1824"/>
      <c r="AT33" s="1824"/>
      <c r="AU33" s="1824"/>
      <c r="AV33" s="1824"/>
      <c r="AW33" s="1824"/>
      <c r="AX33" s="1824"/>
      <c r="AY33" s="1824"/>
      <c r="AZ33" s="1824"/>
      <c r="BA33" s="1824"/>
      <c r="BB33" s="1824"/>
      <c r="BC33" s="1824"/>
      <c r="BD33" s="1824"/>
      <c r="BE33" s="1824"/>
      <c r="BF33" s="1824"/>
      <c r="BG33" s="1637"/>
    </row>
    <row customHeight="1" ht="11.25">
      <c r="A34" s="1168" t="s">
        <v>1007</v>
      </c>
      <c r="B34" s="1168"/>
      <c r="C34" s="1168"/>
      <c r="D34" s="1162"/>
      <c r="E34" s="1172"/>
      <c r="F34" s="1830"/>
      <c r="G34" s="1831"/>
      <c r="H34" s="2549" t="s">
        <v>107</v>
      </c>
      <c r="I34" s="2613"/>
      <c r="J34" s="2518"/>
      <c r="K34" s="2611"/>
      <c r="L34" s="2150"/>
      <c r="M34" s="2151"/>
      <c r="N34" s="2539"/>
      <c r="O34" s="2616"/>
      <c r="P34" s="2543"/>
      <c r="Q34" s="2657"/>
      <c r="R34" s="2544"/>
      <c r="S34" s="2545"/>
      <c r="T34" s="2544"/>
      <c r="U34" s="2544"/>
      <c r="V34" s="2544"/>
      <c r="W34" s="2544"/>
      <c r="X34" s="2544"/>
      <c r="Y34" s="2544"/>
      <c r="Z34" s="1177"/>
      <c r="AA34" s="1178"/>
      <c r="AB34" s="1243" t="s">
        <v>1051</v>
      </c>
      <c r="AC34" s="1182"/>
      <c r="AD34" s="1182"/>
      <c r="AE34" s="1184"/>
      <c r="AF34" s="2614"/>
      <c r="AG34" s="2615"/>
      <c r="AH34" s="2615"/>
      <c r="AI34" s="2614"/>
      <c r="AJ34" s="2615"/>
      <c r="AK34" s="2615"/>
      <c r="AL34" s="1987"/>
      <c r="AM34" s="1824"/>
      <c r="AN34" s="1824"/>
      <c r="AO34" s="1824"/>
      <c r="AP34" s="1824"/>
      <c r="AQ34" s="1824"/>
      <c r="AR34" s="1824"/>
      <c r="AS34" s="1824"/>
      <c r="AT34" s="1824"/>
      <c r="AU34" s="1824"/>
      <c r="AV34" s="1824"/>
      <c r="AW34" s="1824"/>
      <c r="AX34" s="1824"/>
      <c r="AY34" s="1824"/>
      <c r="AZ34" s="1824"/>
      <c r="BA34" s="1824"/>
      <c r="BB34" s="1824"/>
      <c r="BC34" s="1824"/>
      <c r="BD34" s="1824"/>
      <c r="BE34" s="1824"/>
      <c r="BF34" s="1824"/>
      <c r="BG34" s="1637"/>
    </row>
    <row customHeight="1" ht="11.25">
      <c r="A35" s="1168" t="s">
        <v>1007</v>
      </c>
      <c r="B35" s="1168"/>
      <c r="C35" s="1168"/>
      <c r="D35" s="1162"/>
      <c r="E35" s="1172"/>
      <c r="F35" s="1830"/>
      <c r="G35" s="1831"/>
      <c r="H35" s="2549" t="s">
        <v>107</v>
      </c>
      <c r="I35" s="2613"/>
      <c r="J35" s="2518"/>
      <c r="K35" s="2611"/>
      <c r="L35" s="2150"/>
      <c r="M35" s="2151"/>
      <c r="N35" s="1177"/>
      <c r="O35" s="1178"/>
      <c r="P35" s="1170" t="s">
        <v>1052</v>
      </c>
      <c r="Q35" s="1178"/>
      <c r="R35" s="1178"/>
      <c r="S35" s="1178"/>
      <c r="T35" s="1178"/>
      <c r="U35" s="1178"/>
      <c r="V35" s="1178"/>
      <c r="W35" s="1178"/>
      <c r="X35" s="1178"/>
      <c r="Y35" s="1178"/>
      <c r="Z35" s="1178"/>
      <c r="AA35" s="1178"/>
      <c r="AB35" s="1178"/>
      <c r="AC35" s="1178"/>
      <c r="AD35" s="1178"/>
      <c r="AE35" s="1185"/>
      <c r="AF35" s="2614"/>
      <c r="AG35" s="2615"/>
      <c r="AH35" s="2615"/>
      <c r="AI35" s="2614"/>
      <c r="AJ35" s="2615"/>
      <c r="AK35" s="2615"/>
      <c r="AL35" s="1987"/>
      <c r="AM35" s="1824"/>
      <c r="AN35" s="1824"/>
      <c r="AO35" s="1824"/>
      <c r="AP35" s="1824"/>
      <c r="AQ35" s="1824"/>
      <c r="AR35" s="1824"/>
      <c r="AS35" s="1824"/>
      <c r="AT35" s="1824"/>
      <c r="AU35" s="1824"/>
      <c r="AV35" s="1824"/>
      <c r="AW35" s="1824"/>
      <c r="AX35" s="1824"/>
      <c r="AY35" s="1824"/>
      <c r="AZ35" s="1824"/>
      <c r="BA35" s="1824"/>
      <c r="BB35" s="1824"/>
      <c r="BC35" s="1824"/>
      <c r="BD35" s="1824"/>
      <c r="BE35" s="1824"/>
      <c r="BF35" s="1824"/>
      <c r="BG35" s="1637"/>
    </row>
    <row customHeight="1" ht="11.25">
      <c r="A36" s="1168" t="s">
        <v>1007</v>
      </c>
      <c r="B36" s="1168"/>
      <c r="C36" s="1168"/>
      <c r="D36" s="1162"/>
      <c r="E36" s="1172"/>
      <c r="F36" s="1830"/>
      <c r="G36" s="685" t="s">
        <v>682</v>
      </c>
      <c r="H36" s="2549" t="s">
        <v>91</v>
      </c>
      <c r="I36" s="2613"/>
      <c r="J36" s="2518"/>
      <c r="K36" s="2611" t="s">
        <v>1060</v>
      </c>
      <c r="L36" s="2150" t="s">
        <v>19</v>
      </c>
      <c r="M36" s="2151"/>
      <c r="N36" s="1985"/>
      <c r="O36" s="1179" t="s">
        <v>371</v>
      </c>
      <c r="P36" s="1180"/>
      <c r="Q36" s="1180"/>
      <c r="R36" s="1180"/>
      <c r="S36" s="1180"/>
      <c r="T36" s="1180"/>
      <c r="U36" s="1180"/>
      <c r="V36" s="1180"/>
      <c r="W36" s="1180"/>
      <c r="X36" s="1180"/>
      <c r="Y36" s="1180"/>
      <c r="Z36" s="1180"/>
      <c r="AA36" s="1180"/>
      <c r="AB36" s="1180"/>
      <c r="AC36" s="1180"/>
      <c r="AD36" s="1180"/>
      <c r="AE36" s="1180"/>
      <c r="AF36" s="2614">
        <v>1</v>
      </c>
      <c r="AG36" s="2615" t="s">
        <v>1040</v>
      </c>
      <c r="AH36" s="2615" t="s">
        <v>1054</v>
      </c>
      <c r="AI36" s="2614"/>
      <c r="AJ36" s="2615"/>
      <c r="AK36" s="2615"/>
      <c r="AL36" s="1987"/>
      <c r="AM36" s="1824"/>
      <c r="AN36" s="1824"/>
      <c r="AO36" s="1824"/>
      <c r="AP36" s="1824"/>
      <c r="AQ36" s="1824"/>
      <c r="AR36" s="1824"/>
      <c r="AS36" s="1824"/>
      <c r="AT36" s="1824"/>
      <c r="AU36" s="1824"/>
      <c r="AV36" s="1824"/>
      <c r="AW36" s="1824"/>
      <c r="AX36" s="1824"/>
      <c r="AY36" s="1824"/>
      <c r="AZ36" s="1824"/>
      <c r="BA36" s="1824"/>
      <c r="BB36" s="1824"/>
      <c r="BC36" s="1824"/>
      <c r="BD36" s="1824"/>
      <c r="BE36" s="1824"/>
      <c r="BF36" s="1824"/>
      <c r="BG36" s="1637"/>
    </row>
    <row customHeight="1" ht="11.25">
      <c r="A37" s="1168" t="s">
        <v>1007</v>
      </c>
      <c r="B37" s="1168"/>
      <c r="C37" s="1168"/>
      <c r="D37" s="1162"/>
      <c r="E37" s="1172"/>
      <c r="F37" s="1830"/>
      <c r="G37" s="1831"/>
      <c r="H37" s="2549" t="s">
        <v>90</v>
      </c>
      <c r="I37" s="2613"/>
      <c r="J37" s="2518"/>
      <c r="K37" s="2611"/>
      <c r="L37" s="2150"/>
      <c r="M37" s="2151"/>
      <c r="N37" s="2539"/>
      <c r="O37" s="2616">
        <v>1</v>
      </c>
      <c r="P37" s="2541" t="s">
        <v>65</v>
      </c>
      <c r="Q37" s="2657" t="s">
        <v>1042</v>
      </c>
      <c r="R37" s="2658" t="s">
        <v>1043</v>
      </c>
      <c r="S37" s="2658" t="s">
        <v>1044</v>
      </c>
      <c r="T37" s="2658" t="s">
        <v>1044</v>
      </c>
      <c r="U37" s="2658" t="s">
        <v>1045</v>
      </c>
      <c r="V37" s="2658" t="s">
        <v>1046</v>
      </c>
      <c r="W37" s="2658" t="s">
        <v>1047</v>
      </c>
      <c r="X37" s="2658" t="s">
        <v>1048</v>
      </c>
      <c r="Y37" s="2658" t="s">
        <v>765</v>
      </c>
      <c r="Z37" s="1177"/>
      <c r="AA37" s="1178"/>
      <c r="AB37" s="1178"/>
      <c r="AC37" s="1182"/>
      <c r="AD37" s="1182"/>
      <c r="AE37" s="1183"/>
      <c r="AF37" s="2614"/>
      <c r="AG37" s="2615"/>
      <c r="AH37" s="2615"/>
      <c r="AI37" s="2614"/>
      <c r="AJ37" s="2615"/>
      <c r="AK37" s="2615"/>
      <c r="AL37" s="1987"/>
      <c r="AM37" s="1824"/>
      <c r="AN37" s="1824"/>
      <c r="AO37" s="1824"/>
      <c r="AP37" s="1824"/>
      <c r="AQ37" s="1824"/>
      <c r="AR37" s="1824"/>
      <c r="AS37" s="1824"/>
      <c r="AT37" s="1824"/>
      <c r="AU37" s="1824"/>
      <c r="AV37" s="1824"/>
      <c r="AW37" s="1824"/>
      <c r="AX37" s="1824"/>
      <c r="AY37" s="1824"/>
      <c r="AZ37" s="1824"/>
      <c r="BA37" s="1824"/>
      <c r="BB37" s="1824"/>
      <c r="BC37" s="1824"/>
      <c r="BD37" s="1824"/>
      <c r="BE37" s="1824"/>
      <c r="BF37" s="1824"/>
      <c r="BG37" s="1637"/>
    </row>
    <row customHeight="1" ht="11.25">
      <c r="A38" s="1168" t="s">
        <v>1007</v>
      </c>
      <c r="B38" s="1168"/>
      <c r="C38" s="1168"/>
      <c r="D38" s="1162"/>
      <c r="E38" s="1172"/>
      <c r="F38" s="1830"/>
      <c r="G38" s="1831"/>
      <c r="H38" s="2549" t="s">
        <v>90</v>
      </c>
      <c r="I38" s="2613"/>
      <c r="J38" s="2518"/>
      <c r="K38" s="2611"/>
      <c r="L38" s="2150"/>
      <c r="M38" s="2151"/>
      <c r="N38" s="2539"/>
      <c r="O38" s="2616"/>
      <c r="P38" s="2542"/>
      <c r="Q38" s="2657"/>
      <c r="R38" s="2544"/>
      <c r="S38" s="2545"/>
      <c r="T38" s="2544"/>
      <c r="U38" s="2544"/>
      <c r="V38" s="2544"/>
      <c r="W38" s="2544"/>
      <c r="X38" s="2544"/>
      <c r="Y38" s="2544"/>
      <c r="Z38" s="1829"/>
      <c r="AA38" s="1795">
        <v>1</v>
      </c>
      <c r="AB38" s="1181" t="s">
        <v>1049</v>
      </c>
      <c r="AC38" s="1171">
        <v>2418.4</v>
      </c>
      <c r="AD38" s="1181" t="str">
        <f>AB38</f>
        <v>     Прочие амортизационные отчисления</v>
      </c>
      <c r="AE38" s="1171"/>
      <c r="AF38" s="2614"/>
      <c r="AG38" s="2615"/>
      <c r="AH38" s="2615"/>
      <c r="AI38" s="2614"/>
      <c r="AJ38" s="2615"/>
      <c r="AK38" s="2615"/>
      <c r="AL38" s="1987"/>
      <c r="AM38" s="1824"/>
      <c r="AN38" s="1824"/>
      <c r="AO38" s="1824"/>
      <c r="AP38" s="1824"/>
      <c r="AQ38" s="1824"/>
      <c r="AR38" s="1824"/>
      <c r="AS38" s="1824"/>
      <c r="AT38" s="1824"/>
      <c r="AU38" s="1824"/>
      <c r="AV38" s="1824"/>
      <c r="AW38" s="1824"/>
      <c r="AX38" s="1824"/>
      <c r="AY38" s="1824"/>
      <c r="AZ38" s="1824"/>
      <c r="BA38" s="1824"/>
      <c r="BB38" s="1824"/>
      <c r="BC38" s="1824"/>
      <c r="BD38" s="1824"/>
      <c r="BE38" s="1824"/>
      <c r="BF38" s="1824"/>
      <c r="BG38" s="1637"/>
    </row>
    <row customHeight="1" ht="11.25">
      <c r="A39" s="1168" t="s">
        <v>1007</v>
      </c>
      <c r="B39" s="1168"/>
      <c r="C39" s="1168"/>
      <c r="D39" s="1162"/>
      <c r="E39" s="1172"/>
      <c r="F39" s="1830"/>
      <c r="G39" s="1831"/>
      <c r="H39" s="2549" t="s">
        <v>90</v>
      </c>
      <c r="I39" s="2613"/>
      <c r="J39" s="2518"/>
      <c r="K39" s="2611"/>
      <c r="L39" s="2150"/>
      <c r="M39" s="2151"/>
      <c r="N39" s="2539"/>
      <c r="O39" s="2616"/>
      <c r="P39" s="2543"/>
      <c r="Q39" s="2657"/>
      <c r="R39" s="2544"/>
      <c r="S39" s="2545"/>
      <c r="T39" s="2544"/>
      <c r="U39" s="2544"/>
      <c r="V39" s="2544"/>
      <c r="W39" s="2544"/>
      <c r="X39" s="2544"/>
      <c r="Y39" s="2544"/>
      <c r="Z39" s="1177"/>
      <c r="AA39" s="1178"/>
      <c r="AB39" s="1243" t="s">
        <v>1051</v>
      </c>
      <c r="AC39" s="1182"/>
      <c r="AD39" s="1182"/>
      <c r="AE39" s="1184"/>
      <c r="AF39" s="2614"/>
      <c r="AG39" s="2615"/>
      <c r="AH39" s="2615"/>
      <c r="AI39" s="2614"/>
      <c r="AJ39" s="2615"/>
      <c r="AK39" s="2615"/>
      <c r="AL39" s="1987"/>
      <c r="AM39" s="1824"/>
      <c r="AN39" s="1824"/>
      <c r="AO39" s="1824"/>
      <c r="AP39" s="1824"/>
      <c r="AQ39" s="1824"/>
      <c r="AR39" s="1824"/>
      <c r="AS39" s="1824"/>
      <c r="AT39" s="1824"/>
      <c r="AU39" s="1824"/>
      <c r="AV39" s="1824"/>
      <c r="AW39" s="1824"/>
      <c r="AX39" s="1824"/>
      <c r="AY39" s="1824"/>
      <c r="AZ39" s="1824"/>
      <c r="BA39" s="1824"/>
      <c r="BB39" s="1824"/>
      <c r="BC39" s="1824"/>
      <c r="BD39" s="1824"/>
      <c r="BE39" s="1824"/>
      <c r="BF39" s="1824"/>
      <c r="BG39" s="1637"/>
    </row>
    <row customHeight="1" ht="11.25">
      <c r="A40" s="1168" t="s">
        <v>1007</v>
      </c>
      <c r="B40" s="1168"/>
      <c r="C40" s="1168"/>
      <c r="D40" s="1162"/>
      <c r="E40" s="1172"/>
      <c r="F40" s="1830"/>
      <c r="G40" s="1831"/>
      <c r="H40" s="2549" t="s">
        <v>90</v>
      </c>
      <c r="I40" s="2613"/>
      <c r="J40" s="2518"/>
      <c r="K40" s="2611"/>
      <c r="L40" s="2150"/>
      <c r="M40" s="2151"/>
      <c r="N40" s="1177"/>
      <c r="O40" s="1178"/>
      <c r="P40" s="1170" t="s">
        <v>1052</v>
      </c>
      <c r="Q40" s="1178"/>
      <c r="R40" s="1178"/>
      <c r="S40" s="1178"/>
      <c r="T40" s="1178"/>
      <c r="U40" s="1178"/>
      <c r="V40" s="1178"/>
      <c r="W40" s="1178"/>
      <c r="X40" s="1178"/>
      <c r="Y40" s="1178"/>
      <c r="Z40" s="1178"/>
      <c r="AA40" s="1178"/>
      <c r="AB40" s="1178"/>
      <c r="AC40" s="1178"/>
      <c r="AD40" s="1178"/>
      <c r="AE40" s="1185"/>
      <c r="AF40" s="2614"/>
      <c r="AG40" s="2615"/>
      <c r="AH40" s="2615"/>
      <c r="AI40" s="2614"/>
      <c r="AJ40" s="2615"/>
      <c r="AK40" s="2615"/>
      <c r="AL40" s="1987"/>
      <c r="AM40" s="1824"/>
      <c r="AN40" s="1824"/>
      <c r="AO40" s="1824"/>
      <c r="AP40" s="1824"/>
      <c r="AQ40" s="1824"/>
      <c r="AR40" s="1824"/>
      <c r="AS40" s="1824"/>
      <c r="AT40" s="1824"/>
      <c r="AU40" s="1824"/>
      <c r="AV40" s="1824"/>
      <c r="AW40" s="1824"/>
      <c r="AX40" s="1824"/>
      <c r="AY40" s="1824"/>
      <c r="AZ40" s="1824"/>
      <c r="BA40" s="1824"/>
      <c r="BB40" s="1824"/>
      <c r="BC40" s="1824"/>
      <c r="BD40" s="1824"/>
      <c r="BE40" s="1824"/>
      <c r="BF40" s="1824"/>
      <c r="BG40" s="1637"/>
    </row>
    <row customHeight="1" ht="12">
      <c r="A41" s="1168" t="s">
        <v>1007</v>
      </c>
      <c r="B41" s="1168"/>
      <c r="C41" s="1168"/>
      <c r="D41" s="1162"/>
      <c r="E41" s="1172"/>
      <c r="F41" s="2594"/>
      <c r="G41" s="1192"/>
      <c r="H41" s="1192"/>
      <c r="I41" s="2592" t="s">
        <v>1061</v>
      </c>
      <c r="J41" s="2592"/>
      <c r="K41" s="2592"/>
      <c r="L41" s="1175"/>
      <c r="M41" s="1175"/>
      <c r="N41" s="1176"/>
      <c r="O41" s="1176"/>
      <c r="P41" s="1176"/>
      <c r="Q41" s="1176"/>
      <c r="R41" s="1176"/>
      <c r="S41" s="1176"/>
      <c r="T41" s="1176"/>
      <c r="U41" s="1176"/>
      <c r="V41" s="1176"/>
      <c r="W41" s="1176"/>
      <c r="X41" s="1176"/>
      <c r="Y41" s="1176"/>
      <c r="Z41" s="1176"/>
      <c r="AA41" s="1176"/>
      <c r="AB41" s="1176"/>
      <c r="AC41" s="1176"/>
      <c r="AD41" s="1176"/>
      <c r="AE41" s="1176"/>
      <c r="AF41" s="1176"/>
      <c r="AG41" s="1175"/>
      <c r="AH41" s="1175"/>
      <c r="AI41" s="1176"/>
      <c r="AJ41" s="1175"/>
      <c r="AK41" s="1176"/>
      <c r="AL41" s="1987"/>
      <c r="AM41" s="1824"/>
      <c r="AN41" s="1824"/>
      <c r="AO41" s="1824"/>
      <c r="AP41" s="1824"/>
      <c r="AQ41" s="1824"/>
      <c r="AR41" s="1824"/>
      <c r="AS41" s="1824"/>
      <c r="AT41" s="1824"/>
      <c r="AU41" s="1824"/>
      <c r="AV41" s="1824"/>
      <c r="AW41" s="1824"/>
      <c r="AX41" s="1824"/>
      <c r="AY41" s="1824"/>
      <c r="AZ41" s="1824"/>
      <c r="BA41" s="1824"/>
      <c r="BB41" s="1824"/>
      <c r="BC41" s="1824"/>
      <c r="BD41" s="1824"/>
      <c r="BE41" s="1824"/>
      <c r="BF41" s="1824"/>
      <c r="BG41" s="1637"/>
    </row>
    <row customHeight="1" ht="0">
      <c r="A42" s="1168" t="s">
        <v>1007</v>
      </c>
      <c r="B42" s="1168"/>
      <c r="C42" s="1168"/>
      <c r="D42" s="1162"/>
      <c r="E42" s="1172"/>
      <c r="F42" s="2593">
        <v>2027</v>
      </c>
      <c r="G42" s="2549"/>
      <c r="H42" s="2596" t="s">
        <v>371</v>
      </c>
      <c r="I42" s="2597"/>
      <c r="J42" s="2598"/>
      <c r="K42" s="2598"/>
      <c r="L42" s="2591"/>
      <c r="M42" s="2274"/>
      <c r="N42" s="2035"/>
      <c r="O42" s="2034"/>
      <c r="P42" s="2035"/>
      <c r="Q42" s="2035"/>
      <c r="R42" s="2035"/>
      <c r="S42" s="2035"/>
      <c r="T42" s="2035"/>
      <c r="U42" s="2035"/>
      <c r="V42" s="2035"/>
      <c r="W42" s="2035"/>
      <c r="X42" s="2035"/>
      <c r="Y42" s="2035"/>
      <c r="Z42" s="2035"/>
      <c r="AA42" s="2035"/>
      <c r="AB42" s="2035"/>
      <c r="AC42" s="2035"/>
      <c r="AD42" s="2035"/>
      <c r="AE42" s="2035"/>
      <c r="AF42" s="2595"/>
      <c r="AG42" s="2591"/>
      <c r="AH42" s="2591"/>
      <c r="AI42" s="2595"/>
      <c r="AJ42" s="2591"/>
      <c r="AK42" s="2591"/>
      <c r="AL42" s="1987"/>
      <c r="AM42" s="1824"/>
      <c r="AN42" s="1824"/>
      <c r="AO42" s="1824"/>
      <c r="AP42" s="1824"/>
      <c r="AQ42" s="1824"/>
      <c r="AR42" s="1824"/>
      <c r="AS42" s="1824"/>
      <c r="AT42" s="1824"/>
      <c r="AU42" s="1824"/>
      <c r="AV42" s="1824"/>
      <c r="AW42" s="1824"/>
      <c r="AX42" s="1824"/>
      <c r="AY42" s="1824"/>
      <c r="AZ42" s="1824"/>
      <c r="BA42" s="1824"/>
      <c r="BB42" s="1824"/>
      <c r="BC42" s="1824"/>
      <c r="BD42" s="1824"/>
      <c r="BE42" s="1824"/>
      <c r="BF42" s="1824"/>
      <c r="BG42" s="1637"/>
    </row>
    <row customHeight="1" ht="0">
      <c r="A43" s="1168" t="s">
        <v>1007</v>
      </c>
      <c r="B43" s="1168"/>
      <c r="C43" s="1168"/>
      <c r="D43" s="1162"/>
      <c r="E43" s="1172"/>
      <c r="F43" s="2593"/>
      <c r="G43" s="2549"/>
      <c r="H43" s="2596"/>
      <c r="I43" s="2597"/>
      <c r="J43" s="2598"/>
      <c r="K43" s="2598"/>
      <c r="L43" s="2591"/>
      <c r="M43" s="2274"/>
      <c r="N43" s="2599"/>
      <c r="O43" s="2600"/>
      <c r="P43" s="2535"/>
      <c r="Q43" s="2538"/>
      <c r="R43" s="2538"/>
      <c r="S43" s="2538"/>
      <c r="T43" s="2538"/>
      <c r="U43" s="2538"/>
      <c r="V43" s="2538"/>
      <c r="W43" s="2538"/>
      <c r="X43" s="2538"/>
      <c r="Y43" s="2538"/>
      <c r="Z43" s="2036"/>
      <c r="AA43" s="2037"/>
      <c r="AB43" s="2037"/>
      <c r="AC43" s="2038"/>
      <c r="AD43" s="2038"/>
      <c r="AE43" s="2039"/>
      <c r="AF43" s="2595"/>
      <c r="AG43" s="2591"/>
      <c r="AH43" s="2591"/>
      <c r="AI43" s="2595"/>
      <c r="AJ43" s="2591"/>
      <c r="AK43" s="2591"/>
      <c r="AL43" s="1987"/>
      <c r="AM43" s="1824"/>
      <c r="AN43" s="1824"/>
      <c r="AO43" s="1824"/>
      <c r="AP43" s="1824"/>
      <c r="AQ43" s="1824"/>
      <c r="AR43" s="1824"/>
      <c r="AS43" s="1824"/>
      <c r="AT43" s="1824"/>
      <c r="AU43" s="1824"/>
      <c r="AV43" s="1824"/>
      <c r="AW43" s="1824"/>
      <c r="AX43" s="1824"/>
      <c r="AY43" s="1824"/>
      <c r="AZ43" s="1824"/>
      <c r="BA43" s="1824"/>
      <c r="BB43" s="1824"/>
      <c r="BC43" s="1824"/>
      <c r="BD43" s="1824"/>
      <c r="BE43" s="1824"/>
      <c r="BF43" s="1824"/>
      <c r="BG43" s="1637"/>
    </row>
    <row customHeight="1" ht="0">
      <c r="A44" s="1168" t="s">
        <v>1007</v>
      </c>
      <c r="B44" s="1168"/>
      <c r="C44" s="1168"/>
      <c r="D44" s="1162"/>
      <c r="E44" s="1172"/>
      <c r="F44" s="2593"/>
      <c r="G44" s="2549"/>
      <c r="H44" s="2596"/>
      <c r="I44" s="2597"/>
      <c r="J44" s="2598"/>
      <c r="K44" s="2598"/>
      <c r="L44" s="2591"/>
      <c r="M44" s="2274"/>
      <c r="N44" s="2599"/>
      <c r="O44" s="2600"/>
      <c r="P44" s="2536"/>
      <c r="Q44" s="2538"/>
      <c r="R44" s="2538"/>
      <c r="S44" s="2538"/>
      <c r="T44" s="2538"/>
      <c r="U44" s="2538"/>
      <c r="V44" s="2538"/>
      <c r="W44" s="2538"/>
      <c r="X44" s="2538"/>
      <c r="Y44" s="2538"/>
      <c r="Z44" s="2040"/>
      <c r="AA44" s="2041"/>
      <c r="AB44" s="2042"/>
      <c r="AC44" s="2043"/>
      <c r="AD44" s="2042"/>
      <c r="AE44" s="2043"/>
      <c r="AF44" s="2595"/>
      <c r="AG44" s="2591"/>
      <c r="AH44" s="2591"/>
      <c r="AI44" s="2595"/>
      <c r="AJ44" s="2591"/>
      <c r="AK44" s="2591"/>
      <c r="AL44" s="1987"/>
      <c r="AM44" s="1824"/>
      <c r="AN44" s="1824"/>
      <c r="AO44" s="1824"/>
      <c r="AP44" s="1824"/>
      <c r="AQ44" s="1824"/>
      <c r="AR44" s="1824"/>
      <c r="AS44" s="1824"/>
      <c r="AT44" s="1824"/>
      <c r="AU44" s="1824"/>
      <c r="AV44" s="1824"/>
      <c r="AW44" s="1824"/>
      <c r="AX44" s="1824"/>
      <c r="AY44" s="1824"/>
      <c r="AZ44" s="1824"/>
      <c r="BA44" s="1824"/>
      <c r="BB44" s="1824"/>
      <c r="BC44" s="1824"/>
      <c r="BD44" s="1824"/>
      <c r="BE44" s="1824"/>
      <c r="BF44" s="1824"/>
      <c r="BG44" s="1637"/>
    </row>
    <row customHeight="1" ht="0">
      <c r="A45" s="1168" t="s">
        <v>1007</v>
      </c>
      <c r="B45" s="1168"/>
      <c r="C45" s="1168"/>
      <c r="D45" s="1162"/>
      <c r="E45" s="1172"/>
      <c r="F45" s="2593"/>
      <c r="G45" s="2549"/>
      <c r="H45" s="2596"/>
      <c r="I45" s="2597"/>
      <c r="J45" s="2598"/>
      <c r="K45" s="2598"/>
      <c r="L45" s="2591"/>
      <c r="M45" s="2274"/>
      <c r="N45" s="2599"/>
      <c r="O45" s="2600"/>
      <c r="P45" s="2537"/>
      <c r="Q45" s="2538"/>
      <c r="R45" s="2538"/>
      <c r="S45" s="2538"/>
      <c r="T45" s="2538"/>
      <c r="U45" s="2538"/>
      <c r="V45" s="2538"/>
      <c r="W45" s="2538"/>
      <c r="X45" s="2538"/>
      <c r="Y45" s="2538"/>
      <c r="Z45" s="2036"/>
      <c r="AA45" s="2037"/>
      <c r="AB45" s="2044"/>
      <c r="AC45" s="2038"/>
      <c r="AD45" s="2038"/>
      <c r="AE45" s="2045"/>
      <c r="AF45" s="2595"/>
      <c r="AG45" s="2591"/>
      <c r="AH45" s="2591"/>
      <c r="AI45" s="2595"/>
      <c r="AJ45" s="2591"/>
      <c r="AK45" s="2591"/>
      <c r="AL45" s="1987"/>
      <c r="AM45" s="1824"/>
      <c r="AN45" s="1824"/>
      <c r="AO45" s="1824"/>
      <c r="AP45" s="1824"/>
      <c r="AQ45" s="1824"/>
      <c r="AR45" s="1824"/>
      <c r="AS45" s="1824"/>
      <c r="AT45" s="1824"/>
      <c r="AU45" s="1824"/>
      <c r="AV45" s="1824"/>
      <c r="AW45" s="1824"/>
      <c r="AX45" s="1824"/>
      <c r="AY45" s="1824"/>
      <c r="AZ45" s="1824"/>
      <c r="BA45" s="1824"/>
      <c r="BB45" s="1824"/>
      <c r="BC45" s="1824"/>
      <c r="BD45" s="1824"/>
      <c r="BE45" s="1824"/>
      <c r="BF45" s="1824"/>
      <c r="BG45" s="1637"/>
    </row>
    <row customHeight="1" ht="0">
      <c r="A46" s="1168" t="s">
        <v>1007</v>
      </c>
      <c r="B46" s="1168"/>
      <c r="C46" s="1168"/>
      <c r="D46" s="1162"/>
      <c r="E46" s="1172"/>
      <c r="F46" s="2593"/>
      <c r="G46" s="2549"/>
      <c r="H46" s="2596"/>
      <c r="I46" s="2597"/>
      <c r="J46" s="2598"/>
      <c r="K46" s="2598"/>
      <c r="L46" s="2591"/>
      <c r="M46" s="2274"/>
      <c r="N46" s="2037"/>
      <c r="O46" s="2037"/>
      <c r="P46" s="2044"/>
      <c r="Q46" s="2037"/>
      <c r="R46" s="2037"/>
      <c r="S46" s="2037"/>
      <c r="T46" s="2037"/>
      <c r="U46" s="2037"/>
      <c r="V46" s="2037"/>
      <c r="W46" s="2037"/>
      <c r="X46" s="2037"/>
      <c r="Y46" s="2037"/>
      <c r="Z46" s="2037"/>
      <c r="AA46" s="2037"/>
      <c r="AB46" s="2037"/>
      <c r="AC46" s="2037"/>
      <c r="AD46" s="2037"/>
      <c r="AE46" s="2046"/>
      <c r="AF46" s="2595"/>
      <c r="AG46" s="2591"/>
      <c r="AH46" s="2591"/>
      <c r="AI46" s="2595"/>
      <c r="AJ46" s="2591"/>
      <c r="AK46" s="2591"/>
      <c r="AL46" s="1987"/>
      <c r="AM46" s="1824"/>
      <c r="AN46" s="1824"/>
      <c r="AO46" s="1824"/>
      <c r="AP46" s="1824"/>
      <c r="AQ46" s="1824"/>
      <c r="AR46" s="1824"/>
      <c r="AS46" s="1824"/>
      <c r="AT46" s="1824"/>
      <c r="AU46" s="1824"/>
      <c r="AV46" s="1824"/>
      <c r="AW46" s="1824"/>
      <c r="AX46" s="1824"/>
      <c r="AY46" s="1824"/>
      <c r="AZ46" s="1824"/>
      <c r="BA46" s="1824"/>
      <c r="BB46" s="1824"/>
      <c r="BC46" s="1824"/>
      <c r="BD46" s="1824"/>
      <c r="BE46" s="1824"/>
      <c r="BF46" s="1824"/>
      <c r="BG46" s="1637"/>
    </row>
    <row customHeight="1" ht="11.25">
      <c r="A47" s="1168" t="s">
        <v>1007</v>
      </c>
      <c r="B47" s="1168"/>
      <c r="C47" s="1168"/>
      <c r="D47" s="1162"/>
      <c r="E47" s="1172"/>
      <c r="F47" s="1830"/>
      <c r="G47" s="685" t="s">
        <v>682</v>
      </c>
      <c r="H47" s="2549" t="s">
        <v>106</v>
      </c>
      <c r="I47" s="2613"/>
      <c r="J47" s="2518"/>
      <c r="K47" s="2611" t="s">
        <v>1039</v>
      </c>
      <c r="L47" s="2150" t="s">
        <v>19</v>
      </c>
      <c r="M47" s="2151"/>
      <c r="N47" s="1985"/>
      <c r="O47" s="1179" t="s">
        <v>371</v>
      </c>
      <c r="P47" s="1180"/>
      <c r="Q47" s="1180"/>
      <c r="R47" s="1180"/>
      <c r="S47" s="1180"/>
      <c r="T47" s="1180"/>
      <c r="U47" s="1180"/>
      <c r="V47" s="1180"/>
      <c r="W47" s="1180"/>
      <c r="X47" s="1180"/>
      <c r="Y47" s="1180"/>
      <c r="Z47" s="1180"/>
      <c r="AA47" s="1180"/>
      <c r="AB47" s="1180"/>
      <c r="AC47" s="1180"/>
      <c r="AD47" s="1180"/>
      <c r="AE47" s="1180"/>
      <c r="AF47" s="2614">
        <v>3</v>
      </c>
      <c r="AG47" s="2615" t="s">
        <v>1040</v>
      </c>
      <c r="AH47" s="2615" t="s">
        <v>1041</v>
      </c>
      <c r="AI47" s="2614"/>
      <c r="AJ47" s="2615"/>
      <c r="AK47" s="2615"/>
      <c r="AL47" s="1987"/>
      <c r="AM47" s="1824"/>
      <c r="AN47" s="1824"/>
      <c r="AO47" s="1824"/>
      <c r="AP47" s="1824"/>
      <c r="AQ47" s="1824"/>
      <c r="AR47" s="1824"/>
      <c r="AS47" s="1824"/>
      <c r="AT47" s="1824"/>
      <c r="AU47" s="1824"/>
      <c r="AV47" s="1824"/>
      <c r="AW47" s="1824"/>
      <c r="AX47" s="1824"/>
      <c r="AY47" s="1824"/>
      <c r="AZ47" s="1824"/>
      <c r="BA47" s="1824"/>
      <c r="BB47" s="1824"/>
      <c r="BC47" s="1824"/>
      <c r="BD47" s="1824"/>
      <c r="BE47" s="1824"/>
      <c r="BF47" s="1824"/>
      <c r="BG47" s="1637"/>
    </row>
    <row customHeight="1" ht="11.25">
      <c r="A48" s="1168" t="s">
        <v>1007</v>
      </c>
      <c r="B48" s="1168"/>
      <c r="C48" s="1168"/>
      <c r="D48" s="1162"/>
      <c r="E48" s="1172"/>
      <c r="F48" s="1830"/>
      <c r="G48" s="1831"/>
      <c r="H48" s="2549" t="s">
        <v>371</v>
      </c>
      <c r="I48" s="2613"/>
      <c r="J48" s="2518"/>
      <c r="K48" s="2611"/>
      <c r="L48" s="2150"/>
      <c r="M48" s="2151"/>
      <c r="N48" s="2539"/>
      <c r="O48" s="2616">
        <v>1</v>
      </c>
      <c r="P48" s="2541" t="s">
        <v>65</v>
      </c>
      <c r="Q48" s="2657" t="s">
        <v>1042</v>
      </c>
      <c r="R48" s="2658" t="s">
        <v>1043</v>
      </c>
      <c r="S48" s="2658" t="s">
        <v>1044</v>
      </c>
      <c r="T48" s="2658" t="s">
        <v>1044</v>
      </c>
      <c r="U48" s="2658" t="s">
        <v>1045</v>
      </c>
      <c r="V48" s="2658" t="s">
        <v>1046</v>
      </c>
      <c r="W48" s="2658" t="s">
        <v>1047</v>
      </c>
      <c r="X48" s="2658" t="s">
        <v>1048</v>
      </c>
      <c r="Y48" s="2658" t="s">
        <v>765</v>
      </c>
      <c r="Z48" s="1177"/>
      <c r="AA48" s="1178"/>
      <c r="AB48" s="1178"/>
      <c r="AC48" s="1182"/>
      <c r="AD48" s="1182"/>
      <c r="AE48" s="1183"/>
      <c r="AF48" s="2614"/>
      <c r="AG48" s="2615"/>
      <c r="AH48" s="2615"/>
      <c r="AI48" s="2614"/>
      <c r="AJ48" s="2615"/>
      <c r="AK48" s="2615"/>
      <c r="AL48" s="1987"/>
      <c r="AM48" s="1824"/>
      <c r="AN48" s="1824"/>
      <c r="AO48" s="1824"/>
      <c r="AP48" s="1824"/>
      <c r="AQ48" s="1824"/>
      <c r="AR48" s="1824"/>
      <c r="AS48" s="1824"/>
      <c r="AT48" s="1824"/>
      <c r="AU48" s="1824"/>
      <c r="AV48" s="1824"/>
      <c r="AW48" s="1824"/>
      <c r="AX48" s="1824"/>
      <c r="AY48" s="1824"/>
      <c r="AZ48" s="1824"/>
      <c r="BA48" s="1824"/>
      <c r="BB48" s="1824"/>
      <c r="BC48" s="1824"/>
      <c r="BD48" s="1824"/>
      <c r="BE48" s="1824"/>
      <c r="BF48" s="1824"/>
      <c r="BG48" s="1637"/>
    </row>
    <row customHeight="1" ht="11.25">
      <c r="A49" s="1168" t="s">
        <v>1007</v>
      </c>
      <c r="B49" s="1168"/>
      <c r="C49" s="1168"/>
      <c r="D49" s="1162"/>
      <c r="E49" s="1172"/>
      <c r="F49" s="1830"/>
      <c r="G49" s="1831"/>
      <c r="H49" s="2549" t="s">
        <v>371</v>
      </c>
      <c r="I49" s="2613"/>
      <c r="J49" s="2518"/>
      <c r="K49" s="2611"/>
      <c r="L49" s="2150"/>
      <c r="M49" s="2151"/>
      <c r="N49" s="2539"/>
      <c r="O49" s="2616"/>
      <c r="P49" s="2542"/>
      <c r="Q49" s="2657"/>
      <c r="R49" s="2544"/>
      <c r="S49" s="2545"/>
      <c r="T49" s="2544"/>
      <c r="U49" s="2544"/>
      <c r="V49" s="2544"/>
      <c r="W49" s="2544"/>
      <c r="X49" s="2544"/>
      <c r="Y49" s="2544"/>
      <c r="Z49" s="1829"/>
      <c r="AA49" s="1795">
        <v>1</v>
      </c>
      <c r="AB49" s="1181" t="s">
        <v>1049</v>
      </c>
      <c r="AC49" s="1171">
        <v>8636.681</v>
      </c>
      <c r="AD49" s="1181" t="str">
        <f>AB49</f>
        <v>     Прочие амортизационные отчисления</v>
      </c>
      <c r="AE49" s="1171"/>
      <c r="AF49" s="2614"/>
      <c r="AG49" s="2615"/>
      <c r="AH49" s="2615"/>
      <c r="AI49" s="2614"/>
      <c r="AJ49" s="2615"/>
      <c r="AK49" s="2615"/>
      <c r="AL49" s="1987"/>
      <c r="AM49" s="1824"/>
      <c r="AN49" s="1824"/>
      <c r="AO49" s="1824"/>
      <c r="AP49" s="1824"/>
      <c r="AQ49" s="1824"/>
      <c r="AR49" s="1824"/>
      <c r="AS49" s="1824"/>
      <c r="AT49" s="1824"/>
      <c r="AU49" s="1824"/>
      <c r="AV49" s="1824"/>
      <c r="AW49" s="1824"/>
      <c r="AX49" s="1824"/>
      <c r="AY49" s="1824"/>
      <c r="AZ49" s="1824"/>
      <c r="BA49" s="1824"/>
      <c r="BB49" s="1824"/>
      <c r="BC49" s="1824"/>
      <c r="BD49" s="1824"/>
      <c r="BE49" s="1824"/>
      <c r="BF49" s="1824"/>
      <c r="BG49" s="1637"/>
    </row>
    <row customHeight="1" ht="11.25">
      <c r="A50" s="1168" t="s">
        <v>1007</v>
      </c>
      <c r="B50" s="1168"/>
      <c r="C50" s="1168"/>
      <c r="D50" s="1162"/>
      <c r="E50" s="1172"/>
      <c r="F50" s="1830"/>
      <c r="G50" s="1831"/>
      <c r="H50" s="2549" t="s">
        <v>371</v>
      </c>
      <c r="I50" s="2613"/>
      <c r="J50" s="2518"/>
      <c r="K50" s="2611"/>
      <c r="L50" s="2150"/>
      <c r="M50" s="2151"/>
      <c r="N50" s="2539"/>
      <c r="O50" s="2616"/>
      <c r="P50" s="2543"/>
      <c r="Q50" s="2657"/>
      <c r="R50" s="2544"/>
      <c r="S50" s="2545"/>
      <c r="T50" s="2544"/>
      <c r="U50" s="2544"/>
      <c r="V50" s="2544"/>
      <c r="W50" s="2544"/>
      <c r="X50" s="2544"/>
      <c r="Y50" s="2544"/>
      <c r="Z50" s="1177"/>
      <c r="AA50" s="1178"/>
      <c r="AB50" s="1243" t="s">
        <v>1051</v>
      </c>
      <c r="AC50" s="1182"/>
      <c r="AD50" s="1182"/>
      <c r="AE50" s="1184"/>
      <c r="AF50" s="2614"/>
      <c r="AG50" s="2615"/>
      <c r="AH50" s="2615"/>
      <c r="AI50" s="2614"/>
      <c r="AJ50" s="2615"/>
      <c r="AK50" s="2615"/>
      <c r="AL50" s="1987"/>
      <c r="AM50" s="1824"/>
      <c r="AN50" s="1824"/>
      <c r="AO50" s="1824"/>
      <c r="AP50" s="1824"/>
      <c r="AQ50" s="1824"/>
      <c r="AR50" s="1824"/>
      <c r="AS50" s="1824"/>
      <c r="AT50" s="1824"/>
      <c r="AU50" s="1824"/>
      <c r="AV50" s="1824"/>
      <c r="AW50" s="1824"/>
      <c r="AX50" s="1824"/>
      <c r="AY50" s="1824"/>
      <c r="AZ50" s="1824"/>
      <c r="BA50" s="1824"/>
      <c r="BB50" s="1824"/>
      <c r="BC50" s="1824"/>
      <c r="BD50" s="1824"/>
      <c r="BE50" s="1824"/>
      <c r="BF50" s="1824"/>
      <c r="BG50" s="1637"/>
    </row>
    <row customHeight="1" ht="11.25">
      <c r="A51" s="1168" t="s">
        <v>1007</v>
      </c>
      <c r="B51" s="1168"/>
      <c r="C51" s="1168"/>
      <c r="D51" s="1162"/>
      <c r="E51" s="1172"/>
      <c r="F51" s="1830"/>
      <c r="G51" s="1831"/>
      <c r="H51" s="2549" t="s">
        <v>371</v>
      </c>
      <c r="I51" s="2613"/>
      <c r="J51" s="2518"/>
      <c r="K51" s="2611"/>
      <c r="L51" s="2150"/>
      <c r="M51" s="2151"/>
      <c r="N51" s="1177"/>
      <c r="O51" s="1178"/>
      <c r="P51" s="1170" t="s">
        <v>1052</v>
      </c>
      <c r="Q51" s="1178"/>
      <c r="R51" s="1178"/>
      <c r="S51" s="1178"/>
      <c r="T51" s="1178"/>
      <c r="U51" s="1178"/>
      <c r="V51" s="1178"/>
      <c r="W51" s="1178"/>
      <c r="X51" s="1178"/>
      <c r="Y51" s="1178"/>
      <c r="Z51" s="1178"/>
      <c r="AA51" s="1178"/>
      <c r="AB51" s="1178"/>
      <c r="AC51" s="1178"/>
      <c r="AD51" s="1178"/>
      <c r="AE51" s="1185"/>
      <c r="AF51" s="2614"/>
      <c r="AG51" s="2615"/>
      <c r="AH51" s="2615"/>
      <c r="AI51" s="2614"/>
      <c r="AJ51" s="2615"/>
      <c r="AK51" s="2615"/>
      <c r="AL51" s="1987"/>
      <c r="AM51" s="1824"/>
      <c r="AN51" s="1824"/>
      <c r="AO51" s="1824"/>
      <c r="AP51" s="1824"/>
      <c r="AQ51" s="1824"/>
      <c r="AR51" s="1824"/>
      <c r="AS51" s="1824"/>
      <c r="AT51" s="1824"/>
      <c r="AU51" s="1824"/>
      <c r="AV51" s="1824"/>
      <c r="AW51" s="1824"/>
      <c r="AX51" s="1824"/>
      <c r="AY51" s="1824"/>
      <c r="AZ51" s="1824"/>
      <c r="BA51" s="1824"/>
      <c r="BB51" s="1824"/>
      <c r="BC51" s="1824"/>
      <c r="BD51" s="1824"/>
      <c r="BE51" s="1824"/>
      <c r="BF51" s="1824"/>
      <c r="BG51" s="1637"/>
    </row>
    <row customHeight="1" ht="11.25">
      <c r="A52" s="1168" t="s">
        <v>1007</v>
      </c>
      <c r="B52" s="1168"/>
      <c r="C52" s="1168"/>
      <c r="D52" s="1162"/>
      <c r="E52" s="1172"/>
      <c r="F52" s="1830"/>
      <c r="G52" s="685" t="s">
        <v>682</v>
      </c>
      <c r="H52" s="2549" t="s">
        <v>107</v>
      </c>
      <c r="I52" s="2613"/>
      <c r="J52" s="2518"/>
      <c r="K52" s="2611" t="s">
        <v>1058</v>
      </c>
      <c r="L52" s="2150" t="s">
        <v>19</v>
      </c>
      <c r="M52" s="2151"/>
      <c r="N52" s="1985"/>
      <c r="O52" s="1179" t="s">
        <v>371</v>
      </c>
      <c r="P52" s="1180"/>
      <c r="Q52" s="1180"/>
      <c r="R52" s="1180"/>
      <c r="S52" s="1180"/>
      <c r="T52" s="1180"/>
      <c r="U52" s="1180"/>
      <c r="V52" s="1180"/>
      <c r="W52" s="1180"/>
      <c r="X52" s="1180"/>
      <c r="Y52" s="1180"/>
      <c r="Z52" s="1180"/>
      <c r="AA52" s="1180"/>
      <c r="AB52" s="1180"/>
      <c r="AC52" s="1180"/>
      <c r="AD52" s="1180"/>
      <c r="AE52" s="1180"/>
      <c r="AF52" s="2614">
        <v>2</v>
      </c>
      <c r="AG52" s="2615" t="s">
        <v>1040</v>
      </c>
      <c r="AH52" s="2615" t="s">
        <v>1059</v>
      </c>
      <c r="AI52" s="2614"/>
      <c r="AJ52" s="2615"/>
      <c r="AK52" s="2615"/>
      <c r="AL52" s="1987"/>
      <c r="AM52" s="1824"/>
      <c r="AN52" s="1824"/>
      <c r="AO52" s="1824"/>
      <c r="AP52" s="1824"/>
      <c r="AQ52" s="1824"/>
      <c r="AR52" s="1824"/>
      <c r="AS52" s="1824"/>
      <c r="AT52" s="1824"/>
      <c r="AU52" s="1824"/>
      <c r="AV52" s="1824"/>
      <c r="AW52" s="1824"/>
      <c r="AX52" s="1824"/>
      <c r="AY52" s="1824"/>
      <c r="AZ52" s="1824"/>
      <c r="BA52" s="1824"/>
      <c r="BB52" s="1824"/>
      <c r="BC52" s="1824"/>
      <c r="BD52" s="1824"/>
      <c r="BE52" s="1824"/>
      <c r="BF52" s="1824"/>
      <c r="BG52" s="1637"/>
    </row>
    <row customHeight="1" ht="11.25">
      <c r="A53" s="1168" t="s">
        <v>1007</v>
      </c>
      <c r="B53" s="1168"/>
      <c r="C53" s="1168"/>
      <c r="D53" s="1162"/>
      <c r="E53" s="1172"/>
      <c r="F53" s="1830"/>
      <c r="G53" s="1831"/>
      <c r="H53" s="2549" t="s">
        <v>106</v>
      </c>
      <c r="I53" s="2613"/>
      <c r="J53" s="2518"/>
      <c r="K53" s="2611"/>
      <c r="L53" s="2150"/>
      <c r="M53" s="2151"/>
      <c r="N53" s="2539"/>
      <c r="O53" s="2616">
        <v>1</v>
      </c>
      <c r="P53" s="2541" t="s">
        <v>65</v>
      </c>
      <c r="Q53" s="2657" t="s">
        <v>1055</v>
      </c>
      <c r="R53" s="2658" t="s">
        <v>1056</v>
      </c>
      <c r="S53" s="2658" t="s">
        <v>1044</v>
      </c>
      <c r="T53" s="2658" t="s">
        <v>1044</v>
      </c>
      <c r="U53" s="2658" t="s">
        <v>1045</v>
      </c>
      <c r="V53" s="2658" t="s">
        <v>1046</v>
      </c>
      <c r="W53" s="2658" t="s">
        <v>1047</v>
      </c>
      <c r="X53" s="2658" t="s">
        <v>1057</v>
      </c>
      <c r="Y53" s="2658" t="s">
        <v>765</v>
      </c>
      <c r="Z53" s="1177"/>
      <c r="AA53" s="1178"/>
      <c r="AB53" s="1178"/>
      <c r="AC53" s="1182"/>
      <c r="AD53" s="1182"/>
      <c r="AE53" s="1183"/>
      <c r="AF53" s="2614"/>
      <c r="AG53" s="2615"/>
      <c r="AH53" s="2615"/>
      <c r="AI53" s="2614"/>
      <c r="AJ53" s="2615"/>
      <c r="AK53" s="2615"/>
      <c r="AL53" s="1987"/>
      <c r="AM53" s="1824"/>
      <c r="AN53" s="1824"/>
      <c r="AO53" s="1824"/>
      <c r="AP53" s="1824"/>
      <c r="AQ53" s="1824"/>
      <c r="AR53" s="1824"/>
      <c r="AS53" s="1824"/>
      <c r="AT53" s="1824"/>
      <c r="AU53" s="1824"/>
      <c r="AV53" s="1824"/>
      <c r="AW53" s="1824"/>
      <c r="AX53" s="1824"/>
      <c r="AY53" s="1824"/>
      <c r="AZ53" s="1824"/>
      <c r="BA53" s="1824"/>
      <c r="BB53" s="1824"/>
      <c r="BC53" s="1824"/>
      <c r="BD53" s="1824"/>
      <c r="BE53" s="1824"/>
      <c r="BF53" s="1824"/>
      <c r="BG53" s="1637"/>
    </row>
    <row customHeight="1" ht="11.25">
      <c r="A54" s="1168" t="s">
        <v>1007</v>
      </c>
      <c r="B54" s="1168"/>
      <c r="C54" s="1168"/>
      <c r="D54" s="1162"/>
      <c r="E54" s="1172"/>
      <c r="F54" s="1830"/>
      <c r="G54" s="1831"/>
      <c r="H54" s="2549" t="s">
        <v>106</v>
      </c>
      <c r="I54" s="2613"/>
      <c r="J54" s="2518"/>
      <c r="K54" s="2611"/>
      <c r="L54" s="2150"/>
      <c r="M54" s="2151"/>
      <c r="N54" s="2539"/>
      <c r="O54" s="2616"/>
      <c r="P54" s="2542"/>
      <c r="Q54" s="2657"/>
      <c r="R54" s="2544"/>
      <c r="S54" s="2545"/>
      <c r="T54" s="2544"/>
      <c r="U54" s="2544"/>
      <c r="V54" s="2544"/>
      <c r="W54" s="2544"/>
      <c r="X54" s="2544"/>
      <c r="Y54" s="2544"/>
      <c r="Z54" s="1829"/>
      <c r="AA54" s="1795">
        <v>1</v>
      </c>
      <c r="AB54" s="1181" t="s">
        <v>1049</v>
      </c>
      <c r="AC54" s="1171">
        <v>1346.462</v>
      </c>
      <c r="AD54" s="1181" t="str">
        <f>AB54</f>
        <v>     Прочие амортизационные отчисления</v>
      </c>
      <c r="AE54" s="1171"/>
      <c r="AF54" s="2614"/>
      <c r="AG54" s="2615"/>
      <c r="AH54" s="2615"/>
      <c r="AI54" s="2614"/>
      <c r="AJ54" s="2615"/>
      <c r="AK54" s="2615"/>
      <c r="AL54" s="1987"/>
      <c r="AM54" s="1824"/>
      <c r="AN54" s="1824"/>
      <c r="AO54" s="1824"/>
      <c r="AP54" s="1824"/>
      <c r="AQ54" s="1824"/>
      <c r="AR54" s="1824"/>
      <c r="AS54" s="1824"/>
      <c r="AT54" s="1824"/>
      <c r="AU54" s="1824"/>
      <c r="AV54" s="1824"/>
      <c r="AW54" s="1824"/>
      <c r="AX54" s="1824"/>
      <c r="AY54" s="1824"/>
      <c r="AZ54" s="1824"/>
      <c r="BA54" s="1824"/>
      <c r="BB54" s="1824"/>
      <c r="BC54" s="1824"/>
      <c r="BD54" s="1824"/>
      <c r="BE54" s="1824"/>
      <c r="BF54" s="1824"/>
      <c r="BG54" s="1637"/>
    </row>
    <row customHeight="1" ht="11.25">
      <c r="A55" s="1168" t="s">
        <v>1007</v>
      </c>
      <c r="B55" s="1168"/>
      <c r="C55" s="1168"/>
      <c r="D55" s="1162"/>
      <c r="E55" s="1172"/>
      <c r="F55" s="1830"/>
      <c r="G55" s="1831"/>
      <c r="H55" s="2549" t="s">
        <v>106</v>
      </c>
      <c r="I55" s="2613"/>
      <c r="J55" s="2518"/>
      <c r="K55" s="2611"/>
      <c r="L55" s="2150"/>
      <c r="M55" s="2151"/>
      <c r="N55" s="2539"/>
      <c r="O55" s="2616"/>
      <c r="P55" s="2543"/>
      <c r="Q55" s="2657"/>
      <c r="R55" s="2544"/>
      <c r="S55" s="2545"/>
      <c r="T55" s="2544"/>
      <c r="U55" s="2544"/>
      <c r="V55" s="2544"/>
      <c r="W55" s="2544"/>
      <c r="X55" s="2544"/>
      <c r="Y55" s="2544"/>
      <c r="Z55" s="1177"/>
      <c r="AA55" s="1178"/>
      <c r="AB55" s="1243" t="s">
        <v>1051</v>
      </c>
      <c r="AC55" s="1182"/>
      <c r="AD55" s="1182"/>
      <c r="AE55" s="1184"/>
      <c r="AF55" s="2614"/>
      <c r="AG55" s="2615"/>
      <c r="AH55" s="2615"/>
      <c r="AI55" s="2614"/>
      <c r="AJ55" s="2615"/>
      <c r="AK55" s="2615"/>
      <c r="AL55" s="1987"/>
      <c r="AM55" s="1824"/>
      <c r="AN55" s="1824"/>
      <c r="AO55" s="1824"/>
      <c r="AP55" s="1824"/>
      <c r="AQ55" s="1824"/>
      <c r="AR55" s="1824"/>
      <c r="AS55" s="1824"/>
      <c r="AT55" s="1824"/>
      <c r="AU55" s="1824"/>
      <c r="AV55" s="1824"/>
      <c r="AW55" s="1824"/>
      <c r="AX55" s="1824"/>
      <c r="AY55" s="1824"/>
      <c r="AZ55" s="1824"/>
      <c r="BA55" s="1824"/>
      <c r="BB55" s="1824"/>
      <c r="BC55" s="1824"/>
      <c r="BD55" s="1824"/>
      <c r="BE55" s="1824"/>
      <c r="BF55" s="1824"/>
      <c r="BG55" s="1637"/>
    </row>
    <row customHeight="1" ht="11.25">
      <c r="A56" s="1168" t="s">
        <v>1007</v>
      </c>
      <c r="B56" s="1168"/>
      <c r="C56" s="1168"/>
      <c r="D56" s="1162"/>
      <c r="E56" s="1172"/>
      <c r="F56" s="1830"/>
      <c r="G56" s="1831"/>
      <c r="H56" s="2549" t="s">
        <v>106</v>
      </c>
      <c r="I56" s="2613"/>
      <c r="J56" s="2518"/>
      <c r="K56" s="2611"/>
      <c r="L56" s="2150"/>
      <c r="M56" s="2151"/>
      <c r="N56" s="1177"/>
      <c r="O56" s="1178"/>
      <c r="P56" s="1170" t="s">
        <v>1052</v>
      </c>
      <c r="Q56" s="1178"/>
      <c r="R56" s="1178"/>
      <c r="S56" s="1178"/>
      <c r="T56" s="1178"/>
      <c r="U56" s="1178"/>
      <c r="V56" s="1178"/>
      <c r="W56" s="1178"/>
      <c r="X56" s="1178"/>
      <c r="Y56" s="1178"/>
      <c r="Z56" s="1178"/>
      <c r="AA56" s="1178"/>
      <c r="AB56" s="1178"/>
      <c r="AC56" s="1178"/>
      <c r="AD56" s="1178"/>
      <c r="AE56" s="1185"/>
      <c r="AF56" s="2614"/>
      <c r="AG56" s="2615"/>
      <c r="AH56" s="2615"/>
      <c r="AI56" s="2614"/>
      <c r="AJ56" s="2615"/>
      <c r="AK56" s="2615"/>
      <c r="AL56" s="1987"/>
      <c r="AM56" s="1824"/>
      <c r="AN56" s="1824"/>
      <c r="AO56" s="1824"/>
      <c r="AP56" s="1824"/>
      <c r="AQ56" s="1824"/>
      <c r="AR56" s="1824"/>
      <c r="AS56" s="1824"/>
      <c r="AT56" s="1824"/>
      <c r="AU56" s="1824"/>
      <c r="AV56" s="1824"/>
      <c r="AW56" s="1824"/>
      <c r="AX56" s="1824"/>
      <c r="AY56" s="1824"/>
      <c r="AZ56" s="1824"/>
      <c r="BA56" s="1824"/>
      <c r="BB56" s="1824"/>
      <c r="BC56" s="1824"/>
      <c r="BD56" s="1824"/>
      <c r="BE56" s="1824"/>
      <c r="BF56" s="1824"/>
      <c r="BG56" s="1637"/>
    </row>
    <row customHeight="1" ht="12">
      <c r="A57" s="1168" t="s">
        <v>1007</v>
      </c>
      <c r="B57" s="1168"/>
      <c r="C57" s="1168"/>
      <c r="D57" s="1162"/>
      <c r="E57" s="1172"/>
      <c r="F57" s="2594"/>
      <c r="G57" s="1192"/>
      <c r="H57" s="1192"/>
      <c r="I57" s="2592" t="s">
        <v>1061</v>
      </c>
      <c r="J57" s="2592"/>
      <c r="K57" s="2592"/>
      <c r="L57" s="1175"/>
      <c r="M57" s="1175"/>
      <c r="N57" s="1176"/>
      <c r="O57" s="1176"/>
      <c r="P57" s="1176"/>
      <c r="Q57" s="1176"/>
      <c r="R57" s="1176"/>
      <c r="S57" s="1176"/>
      <c r="T57" s="1176"/>
      <c r="U57" s="1176"/>
      <c r="V57" s="1176"/>
      <c r="W57" s="1176"/>
      <c r="X57" s="1176"/>
      <c r="Y57" s="1176"/>
      <c r="Z57" s="1176"/>
      <c r="AA57" s="1176"/>
      <c r="AB57" s="1176"/>
      <c r="AC57" s="1176"/>
      <c r="AD57" s="1176"/>
      <c r="AE57" s="1176"/>
      <c r="AF57" s="1176"/>
      <c r="AG57" s="1175"/>
      <c r="AH57" s="1175"/>
      <c r="AI57" s="1176"/>
      <c r="AJ57" s="1175"/>
      <c r="AK57" s="1176"/>
      <c r="AL57" s="1987"/>
      <c r="AM57" s="1824"/>
      <c r="AN57" s="1824"/>
      <c r="AO57" s="1824"/>
      <c r="AP57" s="1824"/>
      <c r="AQ57" s="1824"/>
      <c r="AR57" s="1824"/>
      <c r="AS57" s="1824"/>
      <c r="AT57" s="1824"/>
      <c r="AU57" s="1824"/>
      <c r="AV57" s="1824"/>
      <c r="AW57" s="1824"/>
      <c r="AX57" s="1824"/>
      <c r="AY57" s="1824"/>
      <c r="AZ57" s="1824"/>
      <c r="BA57" s="1824"/>
      <c r="BB57" s="1824"/>
      <c r="BC57" s="1824"/>
      <c r="BD57" s="1824"/>
      <c r="BE57" s="1824"/>
      <c r="BF57" s="1824"/>
      <c r="BG57" s="1637"/>
    </row>
    <row customHeight="1" ht="0">
      <c r="A58" s="1168" t="s">
        <v>1007</v>
      </c>
      <c r="B58" s="1168"/>
      <c r="C58" s="1168"/>
      <c r="D58" s="1162"/>
      <c r="E58" s="1172"/>
      <c r="F58" s="2593">
        <v>2028</v>
      </c>
      <c r="G58" s="2549"/>
      <c r="H58" s="2596" t="s">
        <v>371</v>
      </c>
      <c r="I58" s="2597"/>
      <c r="J58" s="2598"/>
      <c r="K58" s="2598"/>
      <c r="L58" s="2591"/>
      <c r="M58" s="2274"/>
      <c r="N58" s="2035"/>
      <c r="O58" s="2034"/>
      <c r="P58" s="2035"/>
      <c r="Q58" s="2035"/>
      <c r="R58" s="2035"/>
      <c r="S58" s="2035"/>
      <c r="T58" s="2035"/>
      <c r="U58" s="2035"/>
      <c r="V58" s="2035"/>
      <c r="W58" s="2035"/>
      <c r="X58" s="2035"/>
      <c r="Y58" s="2035"/>
      <c r="Z58" s="2035"/>
      <c r="AA58" s="2035"/>
      <c r="AB58" s="2035"/>
      <c r="AC58" s="2035"/>
      <c r="AD58" s="2035"/>
      <c r="AE58" s="2035"/>
      <c r="AF58" s="2595"/>
      <c r="AG58" s="2591"/>
      <c r="AH58" s="2591"/>
      <c r="AI58" s="2595"/>
      <c r="AJ58" s="2591"/>
      <c r="AK58" s="2591"/>
      <c r="AL58" s="1987"/>
      <c r="AM58" s="1824"/>
      <c r="AN58" s="1824"/>
      <c r="AO58" s="1824"/>
      <c r="AP58" s="1824"/>
      <c r="AQ58" s="1824"/>
      <c r="AR58" s="1824"/>
      <c r="AS58" s="1824"/>
      <c r="AT58" s="1824"/>
      <c r="AU58" s="1824"/>
      <c r="AV58" s="1824"/>
      <c r="AW58" s="1824"/>
      <c r="AX58" s="1824"/>
      <c r="AY58" s="1824"/>
      <c r="AZ58" s="1824"/>
      <c r="BA58" s="1824"/>
      <c r="BB58" s="1824"/>
      <c r="BC58" s="1824"/>
      <c r="BD58" s="1824"/>
      <c r="BE58" s="1824"/>
      <c r="BF58" s="1824"/>
      <c r="BG58" s="1637"/>
    </row>
    <row customHeight="1" ht="0">
      <c r="A59" s="1168" t="s">
        <v>1007</v>
      </c>
      <c r="B59" s="1168"/>
      <c r="C59" s="1168"/>
      <c r="D59" s="1162"/>
      <c r="E59" s="1172"/>
      <c r="F59" s="2593"/>
      <c r="G59" s="2549"/>
      <c r="H59" s="2596"/>
      <c r="I59" s="2597"/>
      <c r="J59" s="2598"/>
      <c r="K59" s="2598"/>
      <c r="L59" s="2591"/>
      <c r="M59" s="2274"/>
      <c r="N59" s="2599"/>
      <c r="O59" s="2600"/>
      <c r="P59" s="2535"/>
      <c r="Q59" s="2538"/>
      <c r="R59" s="2538"/>
      <c r="S59" s="2538"/>
      <c r="T59" s="2538"/>
      <c r="U59" s="2538"/>
      <c r="V59" s="2538"/>
      <c r="W59" s="2538"/>
      <c r="X59" s="2538"/>
      <c r="Y59" s="2538"/>
      <c r="Z59" s="2036"/>
      <c r="AA59" s="2037"/>
      <c r="AB59" s="2037"/>
      <c r="AC59" s="2038"/>
      <c r="AD59" s="2038"/>
      <c r="AE59" s="2039"/>
      <c r="AF59" s="2595"/>
      <c r="AG59" s="2591"/>
      <c r="AH59" s="2591"/>
      <c r="AI59" s="2595"/>
      <c r="AJ59" s="2591"/>
      <c r="AK59" s="2591"/>
      <c r="AL59" s="1987"/>
      <c r="AM59" s="1824"/>
      <c r="AN59" s="1824"/>
      <c r="AO59" s="1824"/>
      <c r="AP59" s="1824"/>
      <c r="AQ59" s="1824"/>
      <c r="AR59" s="1824"/>
      <c r="AS59" s="1824"/>
      <c r="AT59" s="1824"/>
      <c r="AU59" s="1824"/>
      <c r="AV59" s="1824"/>
      <c r="AW59" s="1824"/>
      <c r="AX59" s="1824"/>
      <c r="AY59" s="1824"/>
      <c r="AZ59" s="1824"/>
      <c r="BA59" s="1824"/>
      <c r="BB59" s="1824"/>
      <c r="BC59" s="1824"/>
      <c r="BD59" s="1824"/>
      <c r="BE59" s="1824"/>
      <c r="BF59" s="1824"/>
      <c r="BG59" s="1637"/>
    </row>
    <row customHeight="1" ht="0">
      <c r="A60" s="1168" t="s">
        <v>1007</v>
      </c>
      <c r="B60" s="1168"/>
      <c r="C60" s="1168"/>
      <c r="D60" s="1162"/>
      <c r="E60" s="1172"/>
      <c r="F60" s="2593"/>
      <c r="G60" s="2549"/>
      <c r="H60" s="2596"/>
      <c r="I60" s="2597"/>
      <c r="J60" s="2598"/>
      <c r="K60" s="2598"/>
      <c r="L60" s="2591"/>
      <c r="M60" s="2274"/>
      <c r="N60" s="2599"/>
      <c r="O60" s="2600"/>
      <c r="P60" s="2536"/>
      <c r="Q60" s="2538"/>
      <c r="R60" s="2538"/>
      <c r="S60" s="2538"/>
      <c r="T60" s="2538"/>
      <c r="U60" s="2538"/>
      <c r="V60" s="2538"/>
      <c r="W60" s="2538"/>
      <c r="X60" s="2538"/>
      <c r="Y60" s="2538"/>
      <c r="Z60" s="2040"/>
      <c r="AA60" s="2041"/>
      <c r="AB60" s="2042"/>
      <c r="AC60" s="2043"/>
      <c r="AD60" s="2042"/>
      <c r="AE60" s="2043"/>
      <c r="AF60" s="2595"/>
      <c r="AG60" s="2591"/>
      <c r="AH60" s="2591"/>
      <c r="AI60" s="2595"/>
      <c r="AJ60" s="2591"/>
      <c r="AK60" s="2591"/>
      <c r="AL60" s="1987"/>
      <c r="AM60" s="1824"/>
      <c r="AN60" s="1824"/>
      <c r="AO60" s="1824"/>
      <c r="AP60" s="1824"/>
      <c r="AQ60" s="1824"/>
      <c r="AR60" s="1824"/>
      <c r="AS60" s="1824"/>
      <c r="AT60" s="1824"/>
      <c r="AU60" s="1824"/>
      <c r="AV60" s="1824"/>
      <c r="AW60" s="1824"/>
      <c r="AX60" s="1824"/>
      <c r="AY60" s="1824"/>
      <c r="AZ60" s="1824"/>
      <c r="BA60" s="1824"/>
      <c r="BB60" s="1824"/>
      <c r="BC60" s="1824"/>
      <c r="BD60" s="1824"/>
      <c r="BE60" s="1824"/>
      <c r="BF60" s="1824"/>
      <c r="BG60" s="1637"/>
    </row>
    <row customHeight="1" ht="0">
      <c r="A61" s="1168" t="s">
        <v>1007</v>
      </c>
      <c r="B61" s="1168"/>
      <c r="C61" s="1168"/>
      <c r="D61" s="1162"/>
      <c r="E61" s="1172"/>
      <c r="F61" s="2593"/>
      <c r="G61" s="2549"/>
      <c r="H61" s="2596"/>
      <c r="I61" s="2597"/>
      <c r="J61" s="2598"/>
      <c r="K61" s="2598"/>
      <c r="L61" s="2591"/>
      <c r="M61" s="2274"/>
      <c r="N61" s="2599"/>
      <c r="O61" s="2600"/>
      <c r="P61" s="2537"/>
      <c r="Q61" s="2538"/>
      <c r="R61" s="2538"/>
      <c r="S61" s="2538"/>
      <c r="T61" s="2538"/>
      <c r="U61" s="2538"/>
      <c r="V61" s="2538"/>
      <c r="W61" s="2538"/>
      <c r="X61" s="2538"/>
      <c r="Y61" s="2538"/>
      <c r="Z61" s="2036"/>
      <c r="AA61" s="2037"/>
      <c r="AB61" s="2044"/>
      <c r="AC61" s="2038"/>
      <c r="AD61" s="2038"/>
      <c r="AE61" s="2045"/>
      <c r="AF61" s="2595"/>
      <c r="AG61" s="2591"/>
      <c r="AH61" s="2591"/>
      <c r="AI61" s="2595"/>
      <c r="AJ61" s="2591"/>
      <c r="AK61" s="2591"/>
      <c r="AL61" s="1987"/>
      <c r="AM61" s="1824"/>
      <c r="AN61" s="1824"/>
      <c r="AO61" s="1824"/>
      <c r="AP61" s="1824"/>
      <c r="AQ61" s="1824"/>
      <c r="AR61" s="1824"/>
      <c r="AS61" s="1824"/>
      <c r="AT61" s="1824"/>
      <c r="AU61" s="1824"/>
      <c r="AV61" s="1824"/>
      <c r="AW61" s="1824"/>
      <c r="AX61" s="1824"/>
      <c r="AY61" s="1824"/>
      <c r="AZ61" s="1824"/>
      <c r="BA61" s="1824"/>
      <c r="BB61" s="1824"/>
      <c r="BC61" s="1824"/>
      <c r="BD61" s="1824"/>
      <c r="BE61" s="1824"/>
      <c r="BF61" s="1824"/>
      <c r="BG61" s="1637"/>
    </row>
    <row customHeight="1" ht="0">
      <c r="A62" s="1168" t="s">
        <v>1007</v>
      </c>
      <c r="B62" s="1168"/>
      <c r="C62" s="1168"/>
      <c r="D62" s="1162"/>
      <c r="E62" s="1172"/>
      <c r="F62" s="2593"/>
      <c r="G62" s="2549"/>
      <c r="H62" s="2596"/>
      <c r="I62" s="2597"/>
      <c r="J62" s="2598"/>
      <c r="K62" s="2598"/>
      <c r="L62" s="2591"/>
      <c r="M62" s="2274"/>
      <c r="N62" s="2037"/>
      <c r="O62" s="2037"/>
      <c r="P62" s="2044"/>
      <c r="Q62" s="2037"/>
      <c r="R62" s="2037"/>
      <c r="S62" s="2037"/>
      <c r="T62" s="2037"/>
      <c r="U62" s="2037"/>
      <c r="V62" s="2037"/>
      <c r="W62" s="2037"/>
      <c r="X62" s="2037"/>
      <c r="Y62" s="2037"/>
      <c r="Z62" s="2037"/>
      <c r="AA62" s="2037"/>
      <c r="AB62" s="2037"/>
      <c r="AC62" s="2037"/>
      <c r="AD62" s="2037"/>
      <c r="AE62" s="2046"/>
      <c r="AF62" s="2595"/>
      <c r="AG62" s="2591"/>
      <c r="AH62" s="2591"/>
      <c r="AI62" s="2595"/>
      <c r="AJ62" s="2591"/>
      <c r="AK62" s="2591"/>
      <c r="AL62" s="1987"/>
      <c r="AM62" s="1824"/>
      <c r="AN62" s="1824"/>
      <c r="AO62" s="1824"/>
      <c r="AP62" s="1824"/>
      <c r="AQ62" s="1824"/>
      <c r="AR62" s="1824"/>
      <c r="AS62" s="1824"/>
      <c r="AT62" s="1824"/>
      <c r="AU62" s="1824"/>
      <c r="AV62" s="1824"/>
      <c r="AW62" s="1824"/>
      <c r="AX62" s="1824"/>
      <c r="AY62" s="1824"/>
      <c r="AZ62" s="1824"/>
      <c r="BA62" s="1824"/>
      <c r="BB62" s="1824"/>
      <c r="BC62" s="1824"/>
      <c r="BD62" s="1824"/>
      <c r="BE62" s="1824"/>
      <c r="BF62" s="1824"/>
      <c r="BG62" s="1637"/>
    </row>
    <row customHeight="1" ht="11.25">
      <c r="A63" s="1168" t="s">
        <v>1007</v>
      </c>
      <c r="B63" s="1168"/>
      <c r="C63" s="1168"/>
      <c r="D63" s="1162"/>
      <c r="E63" s="1172"/>
      <c r="F63" s="1830"/>
      <c r="G63" s="685" t="s">
        <v>682</v>
      </c>
      <c r="H63" s="2549" t="s">
        <v>106</v>
      </c>
      <c r="I63" s="2613"/>
      <c r="J63" s="2518"/>
      <c r="K63" s="2611" t="s">
        <v>1039</v>
      </c>
      <c r="L63" s="2150" t="s">
        <v>19</v>
      </c>
      <c r="M63" s="2151"/>
      <c r="N63" s="1985"/>
      <c r="O63" s="1179" t="s">
        <v>371</v>
      </c>
      <c r="P63" s="1180"/>
      <c r="Q63" s="1180"/>
      <c r="R63" s="1180"/>
      <c r="S63" s="1180"/>
      <c r="T63" s="1180"/>
      <c r="U63" s="1180"/>
      <c r="V63" s="1180"/>
      <c r="W63" s="1180"/>
      <c r="X63" s="1180"/>
      <c r="Y63" s="1180"/>
      <c r="Z63" s="1180"/>
      <c r="AA63" s="1180"/>
      <c r="AB63" s="1180"/>
      <c r="AC63" s="1180"/>
      <c r="AD63" s="1180"/>
      <c r="AE63" s="1180"/>
      <c r="AF63" s="2614">
        <v>3</v>
      </c>
      <c r="AG63" s="2615" t="s">
        <v>1040</v>
      </c>
      <c r="AH63" s="2615" t="s">
        <v>1041</v>
      </c>
      <c r="AI63" s="2614"/>
      <c r="AJ63" s="2615"/>
      <c r="AK63" s="2615"/>
      <c r="AL63" s="1987"/>
      <c r="AM63" s="1824"/>
      <c r="AN63" s="1824"/>
      <c r="AO63" s="1824"/>
      <c r="AP63" s="1824"/>
      <c r="AQ63" s="1824"/>
      <c r="AR63" s="1824"/>
      <c r="AS63" s="1824"/>
      <c r="AT63" s="1824"/>
      <c r="AU63" s="1824"/>
      <c r="AV63" s="1824"/>
      <c r="AW63" s="1824"/>
      <c r="AX63" s="1824"/>
      <c r="AY63" s="1824"/>
      <c r="AZ63" s="1824"/>
      <c r="BA63" s="1824"/>
      <c r="BB63" s="1824"/>
      <c r="BC63" s="1824"/>
      <c r="BD63" s="1824"/>
      <c r="BE63" s="1824"/>
      <c r="BF63" s="1824"/>
      <c r="BG63" s="1637"/>
    </row>
    <row customHeight="1" ht="11.25">
      <c r="A64" s="1168" t="s">
        <v>1007</v>
      </c>
      <c r="B64" s="1168"/>
      <c r="C64" s="1168"/>
      <c r="D64" s="1162"/>
      <c r="E64" s="1172"/>
      <c r="F64" s="1830"/>
      <c r="G64" s="1831"/>
      <c r="H64" s="2549" t="s">
        <v>371</v>
      </c>
      <c r="I64" s="2613"/>
      <c r="J64" s="2518"/>
      <c r="K64" s="2611"/>
      <c r="L64" s="2150"/>
      <c r="M64" s="2151"/>
      <c r="N64" s="2539"/>
      <c r="O64" s="2616">
        <v>1</v>
      </c>
      <c r="P64" s="2541" t="s">
        <v>65</v>
      </c>
      <c r="Q64" s="2657" t="s">
        <v>1042</v>
      </c>
      <c r="R64" s="2658" t="s">
        <v>1043</v>
      </c>
      <c r="S64" s="2658" t="s">
        <v>1044</v>
      </c>
      <c r="T64" s="2658" t="s">
        <v>1044</v>
      </c>
      <c r="U64" s="2658" t="s">
        <v>1045</v>
      </c>
      <c r="V64" s="2658" t="s">
        <v>1046</v>
      </c>
      <c r="W64" s="2658" t="s">
        <v>1047</v>
      </c>
      <c r="X64" s="2658" t="s">
        <v>1048</v>
      </c>
      <c r="Y64" s="2658" t="s">
        <v>765</v>
      </c>
      <c r="Z64" s="1177"/>
      <c r="AA64" s="1178"/>
      <c r="AB64" s="1178"/>
      <c r="AC64" s="1182"/>
      <c r="AD64" s="1182"/>
      <c r="AE64" s="1183"/>
      <c r="AF64" s="2614"/>
      <c r="AG64" s="2615"/>
      <c r="AH64" s="2615"/>
      <c r="AI64" s="2614"/>
      <c r="AJ64" s="2615"/>
      <c r="AK64" s="2615"/>
      <c r="AL64" s="1987"/>
      <c r="AM64" s="1824"/>
      <c r="AN64" s="1824"/>
      <c r="AO64" s="1824"/>
      <c r="AP64" s="1824"/>
      <c r="AQ64" s="1824"/>
      <c r="AR64" s="1824"/>
      <c r="AS64" s="1824"/>
      <c r="AT64" s="1824"/>
      <c r="AU64" s="1824"/>
      <c r="AV64" s="1824"/>
      <c r="AW64" s="1824"/>
      <c r="AX64" s="1824"/>
      <c r="AY64" s="1824"/>
      <c r="AZ64" s="1824"/>
      <c r="BA64" s="1824"/>
      <c r="BB64" s="1824"/>
      <c r="BC64" s="1824"/>
      <c r="BD64" s="1824"/>
      <c r="BE64" s="1824"/>
      <c r="BF64" s="1824"/>
      <c r="BG64" s="1637"/>
    </row>
    <row customHeight="1" ht="11.25">
      <c r="A65" s="1168" t="s">
        <v>1007</v>
      </c>
      <c r="B65" s="1168"/>
      <c r="C65" s="1168"/>
      <c r="D65" s="1162"/>
      <c r="E65" s="1172"/>
      <c r="F65" s="1830"/>
      <c r="G65" s="1831"/>
      <c r="H65" s="2549" t="s">
        <v>371</v>
      </c>
      <c r="I65" s="2613"/>
      <c r="J65" s="2518"/>
      <c r="K65" s="2611"/>
      <c r="L65" s="2150"/>
      <c r="M65" s="2151"/>
      <c r="N65" s="2539"/>
      <c r="O65" s="2616"/>
      <c r="P65" s="2542"/>
      <c r="Q65" s="2657"/>
      <c r="R65" s="2544"/>
      <c r="S65" s="2545"/>
      <c r="T65" s="2544"/>
      <c r="U65" s="2544"/>
      <c r="V65" s="2544"/>
      <c r="W65" s="2544"/>
      <c r="X65" s="2544"/>
      <c r="Y65" s="2544"/>
      <c r="Z65" s="1829"/>
      <c r="AA65" s="1795">
        <v>1</v>
      </c>
      <c r="AB65" s="1181" t="s">
        <v>1049</v>
      </c>
      <c r="AC65" s="1171">
        <v>5598.397</v>
      </c>
      <c r="AD65" s="1181" t="str">
        <f>AB65</f>
        <v>     Прочие амортизационные отчисления</v>
      </c>
      <c r="AE65" s="1171"/>
      <c r="AF65" s="2614"/>
      <c r="AG65" s="2615"/>
      <c r="AH65" s="2615"/>
      <c r="AI65" s="2614"/>
      <c r="AJ65" s="2615"/>
      <c r="AK65" s="2615"/>
      <c r="AL65" s="1987"/>
      <c r="AM65" s="1824"/>
      <c r="AN65" s="1824"/>
      <c r="AO65" s="1824"/>
      <c r="AP65" s="1824"/>
      <c r="AQ65" s="1824"/>
      <c r="AR65" s="1824"/>
      <c r="AS65" s="1824"/>
      <c r="AT65" s="1824"/>
      <c r="AU65" s="1824"/>
      <c r="AV65" s="1824"/>
      <c r="AW65" s="1824"/>
      <c r="AX65" s="1824"/>
      <c r="AY65" s="1824"/>
      <c r="AZ65" s="1824"/>
      <c r="BA65" s="1824"/>
      <c r="BB65" s="1824"/>
      <c r="BC65" s="1824"/>
      <c r="BD65" s="1824"/>
      <c r="BE65" s="1824"/>
      <c r="BF65" s="1824"/>
      <c r="BG65" s="1637"/>
    </row>
    <row customHeight="1" ht="11.25">
      <c r="A66" s="1168" t="s">
        <v>1007</v>
      </c>
      <c r="B66" s="1168"/>
      <c r="C66" s="1168"/>
      <c r="D66" s="1162"/>
      <c r="E66" s="1172"/>
      <c r="F66" s="1830"/>
      <c r="G66" s="1831"/>
      <c r="H66" s="2549" t="s">
        <v>371</v>
      </c>
      <c r="I66" s="2613"/>
      <c r="J66" s="2518"/>
      <c r="K66" s="2611"/>
      <c r="L66" s="2150"/>
      <c r="M66" s="2151"/>
      <c r="N66" s="2539"/>
      <c r="O66" s="2616"/>
      <c r="P66" s="2543"/>
      <c r="Q66" s="2657"/>
      <c r="R66" s="2544"/>
      <c r="S66" s="2545"/>
      <c r="T66" s="2544"/>
      <c r="U66" s="2544"/>
      <c r="V66" s="2544"/>
      <c r="W66" s="2544"/>
      <c r="X66" s="2544"/>
      <c r="Y66" s="2544"/>
      <c r="Z66" s="1177"/>
      <c r="AA66" s="1178"/>
      <c r="AB66" s="1243" t="s">
        <v>1051</v>
      </c>
      <c r="AC66" s="1182"/>
      <c r="AD66" s="1182"/>
      <c r="AE66" s="1184"/>
      <c r="AF66" s="2614"/>
      <c r="AG66" s="2615"/>
      <c r="AH66" s="2615"/>
      <c r="AI66" s="2614"/>
      <c r="AJ66" s="2615"/>
      <c r="AK66" s="2615"/>
      <c r="AL66" s="1987"/>
      <c r="AM66" s="1824"/>
      <c r="AN66" s="1824"/>
      <c r="AO66" s="1824"/>
      <c r="AP66" s="1824"/>
      <c r="AQ66" s="1824"/>
      <c r="AR66" s="1824"/>
      <c r="AS66" s="1824"/>
      <c r="AT66" s="1824"/>
      <c r="AU66" s="1824"/>
      <c r="AV66" s="1824"/>
      <c r="AW66" s="1824"/>
      <c r="AX66" s="1824"/>
      <c r="AY66" s="1824"/>
      <c r="AZ66" s="1824"/>
      <c r="BA66" s="1824"/>
      <c r="BB66" s="1824"/>
      <c r="BC66" s="1824"/>
      <c r="BD66" s="1824"/>
      <c r="BE66" s="1824"/>
      <c r="BF66" s="1824"/>
      <c r="BG66" s="1637"/>
    </row>
    <row customHeight="1" ht="11.25">
      <c r="A67" s="1168" t="s">
        <v>1007</v>
      </c>
      <c r="B67" s="1168"/>
      <c r="C67" s="1168"/>
      <c r="D67" s="1162"/>
      <c r="E67" s="1172"/>
      <c r="F67" s="1830"/>
      <c r="G67" s="1831"/>
      <c r="H67" s="2549" t="s">
        <v>371</v>
      </c>
      <c r="I67" s="2613"/>
      <c r="J67" s="2518"/>
      <c r="K67" s="2611"/>
      <c r="L67" s="2150"/>
      <c r="M67" s="2151"/>
      <c r="N67" s="1177"/>
      <c r="O67" s="1178"/>
      <c r="P67" s="1170" t="s">
        <v>1052</v>
      </c>
      <c r="Q67" s="1178"/>
      <c r="R67" s="1178"/>
      <c r="S67" s="1178"/>
      <c r="T67" s="1178"/>
      <c r="U67" s="1178"/>
      <c r="V67" s="1178"/>
      <c r="W67" s="1178"/>
      <c r="X67" s="1178"/>
      <c r="Y67" s="1178"/>
      <c r="Z67" s="1178"/>
      <c r="AA67" s="1178"/>
      <c r="AB67" s="1178"/>
      <c r="AC67" s="1178"/>
      <c r="AD67" s="1178"/>
      <c r="AE67" s="1185"/>
      <c r="AF67" s="2614"/>
      <c r="AG67" s="2615"/>
      <c r="AH67" s="2615"/>
      <c r="AI67" s="2614"/>
      <c r="AJ67" s="2615"/>
      <c r="AK67" s="2615"/>
      <c r="AL67" s="1987"/>
      <c r="AM67" s="1824"/>
      <c r="AN67" s="1824"/>
      <c r="AO67" s="1824"/>
      <c r="AP67" s="1824"/>
      <c r="AQ67" s="1824"/>
      <c r="AR67" s="1824"/>
      <c r="AS67" s="1824"/>
      <c r="AT67" s="1824"/>
      <c r="AU67" s="1824"/>
      <c r="AV67" s="1824"/>
      <c r="AW67" s="1824"/>
      <c r="AX67" s="1824"/>
      <c r="AY67" s="1824"/>
      <c r="AZ67" s="1824"/>
      <c r="BA67" s="1824"/>
      <c r="BB67" s="1824"/>
      <c r="BC67" s="1824"/>
      <c r="BD67" s="1824"/>
      <c r="BE67" s="1824"/>
      <c r="BF67" s="1824"/>
      <c r="BG67" s="1637"/>
    </row>
    <row customHeight="1" ht="11.25">
      <c r="A68" s="1168" t="s">
        <v>1007</v>
      </c>
      <c r="B68" s="1168"/>
      <c r="C68" s="1168"/>
      <c r="D68" s="1162"/>
      <c r="E68" s="1172"/>
      <c r="F68" s="1830"/>
      <c r="G68" s="685" t="s">
        <v>682</v>
      </c>
      <c r="H68" s="2549" t="s">
        <v>107</v>
      </c>
      <c r="I68" s="2613"/>
      <c r="J68" s="2518"/>
      <c r="K68" s="2611" t="s">
        <v>1062</v>
      </c>
      <c r="L68" s="2150" t="s">
        <v>19</v>
      </c>
      <c r="M68" s="2151"/>
      <c r="N68" s="1985"/>
      <c r="O68" s="1179" t="s">
        <v>371</v>
      </c>
      <c r="P68" s="1180"/>
      <c r="Q68" s="1180"/>
      <c r="R68" s="1180"/>
      <c r="S68" s="1180"/>
      <c r="T68" s="1180"/>
      <c r="U68" s="1180"/>
      <c r="V68" s="1180"/>
      <c r="W68" s="1180"/>
      <c r="X68" s="1180"/>
      <c r="Y68" s="1180"/>
      <c r="Z68" s="1180"/>
      <c r="AA68" s="1180"/>
      <c r="AB68" s="1180"/>
      <c r="AC68" s="1180"/>
      <c r="AD68" s="1180"/>
      <c r="AE68" s="1180"/>
      <c r="AF68" s="2614">
        <v>1</v>
      </c>
      <c r="AG68" s="2615" t="s">
        <v>1040</v>
      </c>
      <c r="AH68" s="2615" t="s">
        <v>1041</v>
      </c>
      <c r="AI68" s="2614"/>
      <c r="AJ68" s="2615"/>
      <c r="AK68" s="2615"/>
      <c r="AL68" s="1987"/>
      <c r="AM68" s="1824"/>
      <c r="AN68" s="1824"/>
      <c r="AO68" s="1824"/>
      <c r="AP68" s="1824"/>
      <c r="AQ68" s="1824"/>
      <c r="AR68" s="1824"/>
      <c r="AS68" s="1824"/>
      <c r="AT68" s="1824"/>
      <c r="AU68" s="1824"/>
      <c r="AV68" s="1824"/>
      <c r="AW68" s="1824"/>
      <c r="AX68" s="1824"/>
      <c r="AY68" s="1824"/>
      <c r="AZ68" s="1824"/>
      <c r="BA68" s="1824"/>
      <c r="BB68" s="1824"/>
      <c r="BC68" s="1824"/>
      <c r="BD68" s="1824"/>
      <c r="BE68" s="1824"/>
      <c r="BF68" s="1824"/>
      <c r="BG68" s="1637"/>
    </row>
    <row customHeight="1" ht="11.25">
      <c r="A69" s="1168" t="s">
        <v>1007</v>
      </c>
      <c r="B69" s="1168"/>
      <c r="C69" s="1168"/>
      <c r="D69" s="1162"/>
      <c r="E69" s="1172"/>
      <c r="F69" s="1830"/>
      <c r="G69" s="1831"/>
      <c r="H69" s="2549" t="s">
        <v>106</v>
      </c>
      <c r="I69" s="2613"/>
      <c r="J69" s="2518"/>
      <c r="K69" s="2611"/>
      <c r="L69" s="2150"/>
      <c r="M69" s="2151"/>
      <c r="N69" s="2539"/>
      <c r="O69" s="2616">
        <v>1</v>
      </c>
      <c r="P69" s="2541" t="s">
        <v>65</v>
      </c>
      <c r="Q69" s="2657" t="s">
        <v>1042</v>
      </c>
      <c r="R69" s="2658" t="s">
        <v>1043</v>
      </c>
      <c r="S69" s="2658" t="s">
        <v>1044</v>
      </c>
      <c r="T69" s="2658" t="s">
        <v>1044</v>
      </c>
      <c r="U69" s="2658" t="s">
        <v>1045</v>
      </c>
      <c r="V69" s="2658" t="s">
        <v>1046</v>
      </c>
      <c r="W69" s="2658" t="s">
        <v>1047</v>
      </c>
      <c r="X69" s="2658" t="s">
        <v>1048</v>
      </c>
      <c r="Y69" s="2658" t="s">
        <v>765</v>
      </c>
      <c r="Z69" s="1177"/>
      <c r="AA69" s="1178"/>
      <c r="AB69" s="1178"/>
      <c r="AC69" s="1182"/>
      <c r="AD69" s="1182"/>
      <c r="AE69" s="1183"/>
      <c r="AF69" s="2614"/>
      <c r="AG69" s="2615"/>
      <c r="AH69" s="2615"/>
      <c r="AI69" s="2614"/>
      <c r="AJ69" s="2615"/>
      <c r="AK69" s="2615"/>
      <c r="AL69" s="1987"/>
      <c r="AM69" s="1824"/>
      <c r="AN69" s="1824"/>
      <c r="AO69" s="1824"/>
      <c r="AP69" s="1824"/>
      <c r="AQ69" s="1824"/>
      <c r="AR69" s="1824"/>
      <c r="AS69" s="1824"/>
      <c r="AT69" s="1824"/>
      <c r="AU69" s="1824"/>
      <c r="AV69" s="1824"/>
      <c r="AW69" s="1824"/>
      <c r="AX69" s="1824"/>
      <c r="AY69" s="1824"/>
      <c r="AZ69" s="1824"/>
      <c r="BA69" s="1824"/>
      <c r="BB69" s="1824"/>
      <c r="BC69" s="1824"/>
      <c r="BD69" s="1824"/>
      <c r="BE69" s="1824"/>
      <c r="BF69" s="1824"/>
      <c r="BG69" s="1637"/>
    </row>
    <row customHeight="1" ht="11.25">
      <c r="A70" s="1168" t="s">
        <v>1007</v>
      </c>
      <c r="B70" s="1168"/>
      <c r="C70" s="1168"/>
      <c r="D70" s="1162"/>
      <c r="E70" s="1172"/>
      <c r="F70" s="1830"/>
      <c r="G70" s="1831"/>
      <c r="H70" s="2549" t="s">
        <v>106</v>
      </c>
      <c r="I70" s="2613"/>
      <c r="J70" s="2518"/>
      <c r="K70" s="2611"/>
      <c r="L70" s="2150"/>
      <c r="M70" s="2151"/>
      <c r="N70" s="2539"/>
      <c r="O70" s="2616"/>
      <c r="P70" s="2542"/>
      <c r="Q70" s="2657"/>
      <c r="R70" s="2544"/>
      <c r="S70" s="2545"/>
      <c r="T70" s="2544"/>
      <c r="U70" s="2544"/>
      <c r="V70" s="2544"/>
      <c r="W70" s="2544"/>
      <c r="X70" s="2544"/>
      <c r="Y70" s="2544"/>
      <c r="Z70" s="1829"/>
      <c r="AA70" s="1795">
        <v>1</v>
      </c>
      <c r="AB70" s="1181" t="s">
        <v>1049</v>
      </c>
      <c r="AC70" s="1171">
        <v>3977.647</v>
      </c>
      <c r="AD70" s="1181" t="str">
        <f>AB70</f>
        <v>     Прочие амортизационные отчисления</v>
      </c>
      <c r="AE70" s="1171"/>
      <c r="AF70" s="2614"/>
      <c r="AG70" s="2615"/>
      <c r="AH70" s="2615"/>
      <c r="AI70" s="2614"/>
      <c r="AJ70" s="2615"/>
      <c r="AK70" s="2615"/>
      <c r="AL70" s="1987"/>
      <c r="AM70" s="1824"/>
      <c r="AN70" s="1824"/>
      <c r="AO70" s="1824"/>
      <c r="AP70" s="1824"/>
      <c r="AQ70" s="1824"/>
      <c r="AR70" s="1824"/>
      <c r="AS70" s="1824"/>
      <c r="AT70" s="1824"/>
      <c r="AU70" s="1824"/>
      <c r="AV70" s="1824"/>
      <c r="AW70" s="1824"/>
      <c r="AX70" s="1824"/>
      <c r="AY70" s="1824"/>
      <c r="AZ70" s="1824"/>
      <c r="BA70" s="1824"/>
      <c r="BB70" s="1824"/>
      <c r="BC70" s="1824"/>
      <c r="BD70" s="1824"/>
      <c r="BE70" s="1824"/>
      <c r="BF70" s="1824"/>
      <c r="BG70" s="1637"/>
    </row>
    <row customHeight="1" ht="11.25">
      <c r="A71" s="1168" t="s">
        <v>1007</v>
      </c>
      <c r="B71" s="1168"/>
      <c r="C71" s="1168"/>
      <c r="D71" s="1162"/>
      <c r="E71" s="1172"/>
      <c r="F71" s="1830"/>
      <c r="G71" s="1831"/>
      <c r="H71" s="2549" t="s">
        <v>106</v>
      </c>
      <c r="I71" s="2613"/>
      <c r="J71" s="2518"/>
      <c r="K71" s="2611"/>
      <c r="L71" s="2150"/>
      <c r="M71" s="2151"/>
      <c r="N71" s="2539"/>
      <c r="O71" s="2616"/>
      <c r="P71" s="2543"/>
      <c r="Q71" s="2657"/>
      <c r="R71" s="2544"/>
      <c r="S71" s="2545"/>
      <c r="T71" s="2544"/>
      <c r="U71" s="2544"/>
      <c r="V71" s="2544"/>
      <c r="W71" s="2544"/>
      <c r="X71" s="2544"/>
      <c r="Y71" s="2544"/>
      <c r="Z71" s="1177"/>
      <c r="AA71" s="1178"/>
      <c r="AB71" s="1243" t="s">
        <v>1051</v>
      </c>
      <c r="AC71" s="1182"/>
      <c r="AD71" s="1182"/>
      <c r="AE71" s="1184"/>
      <c r="AF71" s="2614"/>
      <c r="AG71" s="2615"/>
      <c r="AH71" s="2615"/>
      <c r="AI71" s="2614"/>
      <c r="AJ71" s="2615"/>
      <c r="AK71" s="2615"/>
      <c r="AL71" s="1987"/>
      <c r="AM71" s="1824"/>
      <c r="AN71" s="1824"/>
      <c r="AO71" s="1824"/>
      <c r="AP71" s="1824"/>
      <c r="AQ71" s="1824"/>
      <c r="AR71" s="1824"/>
      <c r="AS71" s="1824"/>
      <c r="AT71" s="1824"/>
      <c r="AU71" s="1824"/>
      <c r="AV71" s="1824"/>
      <c r="AW71" s="1824"/>
      <c r="AX71" s="1824"/>
      <c r="AY71" s="1824"/>
      <c r="AZ71" s="1824"/>
      <c r="BA71" s="1824"/>
      <c r="BB71" s="1824"/>
      <c r="BC71" s="1824"/>
      <c r="BD71" s="1824"/>
      <c r="BE71" s="1824"/>
      <c r="BF71" s="1824"/>
      <c r="BG71" s="1637"/>
    </row>
    <row customHeight="1" ht="11.25">
      <c r="A72" s="1168" t="s">
        <v>1007</v>
      </c>
      <c r="B72" s="1168"/>
      <c r="C72" s="1168"/>
      <c r="D72" s="1162"/>
      <c r="E72" s="1172"/>
      <c r="F72" s="1830"/>
      <c r="G72" s="1831"/>
      <c r="H72" s="2549" t="s">
        <v>106</v>
      </c>
      <c r="I72" s="2613"/>
      <c r="J72" s="2518"/>
      <c r="K72" s="2611"/>
      <c r="L72" s="2150"/>
      <c r="M72" s="2151"/>
      <c r="N72" s="1177"/>
      <c r="O72" s="1178"/>
      <c r="P72" s="1170" t="s">
        <v>1052</v>
      </c>
      <c r="Q72" s="1178"/>
      <c r="R72" s="1178"/>
      <c r="S72" s="1178"/>
      <c r="T72" s="1178"/>
      <c r="U72" s="1178"/>
      <c r="V72" s="1178"/>
      <c r="W72" s="1178"/>
      <c r="X72" s="1178"/>
      <c r="Y72" s="1178"/>
      <c r="Z72" s="1178"/>
      <c r="AA72" s="1178"/>
      <c r="AB72" s="1178"/>
      <c r="AC72" s="1178"/>
      <c r="AD72" s="1178"/>
      <c r="AE72" s="1185"/>
      <c r="AF72" s="2614"/>
      <c r="AG72" s="2615"/>
      <c r="AH72" s="2615"/>
      <c r="AI72" s="2614"/>
      <c r="AJ72" s="2615"/>
      <c r="AK72" s="2615"/>
      <c r="AL72" s="1987"/>
      <c r="AM72" s="1824"/>
      <c r="AN72" s="1824"/>
      <c r="AO72" s="1824"/>
      <c r="AP72" s="1824"/>
      <c r="AQ72" s="1824"/>
      <c r="AR72" s="1824"/>
      <c r="AS72" s="1824"/>
      <c r="AT72" s="1824"/>
      <c r="AU72" s="1824"/>
      <c r="AV72" s="1824"/>
      <c r="AW72" s="1824"/>
      <c r="AX72" s="1824"/>
      <c r="AY72" s="1824"/>
      <c r="AZ72" s="1824"/>
      <c r="BA72" s="1824"/>
      <c r="BB72" s="1824"/>
      <c r="BC72" s="1824"/>
      <c r="BD72" s="1824"/>
      <c r="BE72" s="1824"/>
      <c r="BF72" s="1824"/>
      <c r="BG72" s="1637"/>
    </row>
    <row customHeight="1" ht="20.25">
      <c r="A73" s="1168" t="s">
        <v>1007</v>
      </c>
      <c r="B73" s="1168"/>
      <c r="C73" s="1168"/>
      <c r="D73" s="1162"/>
      <c r="E73" s="1172"/>
      <c r="F73" s="2594"/>
      <c r="G73" s="1192"/>
      <c r="H73" s="1192"/>
      <c r="I73" s="2592" t="s">
        <v>1061</v>
      </c>
      <c r="J73" s="2592"/>
      <c r="K73" s="2592"/>
      <c r="L73" s="1175"/>
      <c r="M73" s="1175"/>
      <c r="N73" s="1176"/>
      <c r="O73" s="1176"/>
      <c r="P73" s="1176"/>
      <c r="Q73" s="1176"/>
      <c r="R73" s="1176"/>
      <c r="S73" s="1176"/>
      <c r="T73" s="1176"/>
      <c r="U73" s="1176"/>
      <c r="V73" s="1176"/>
      <c r="W73" s="1176"/>
      <c r="X73" s="1176"/>
      <c r="Y73" s="1176"/>
      <c r="Z73" s="1176"/>
      <c r="AA73" s="1176"/>
      <c r="AB73" s="1176"/>
      <c r="AC73" s="1176"/>
      <c r="AD73" s="1176"/>
      <c r="AE73" s="1176"/>
      <c r="AF73" s="1176"/>
      <c r="AG73" s="1175"/>
      <c r="AH73" s="1175"/>
      <c r="AI73" s="1176"/>
      <c r="AJ73" s="1175"/>
      <c r="AK73" s="1176"/>
      <c r="AL73" s="1987"/>
      <c r="AM73" s="1824"/>
      <c r="AN73" s="1824"/>
      <c r="AO73" s="1824"/>
      <c r="AP73" s="1824"/>
      <c r="AQ73" s="1824"/>
      <c r="AR73" s="1824"/>
      <c r="AS73" s="1824"/>
      <c r="AT73" s="1824"/>
      <c r="AU73" s="1824"/>
      <c r="AV73" s="1824"/>
      <c r="AW73" s="1824"/>
      <c r="AX73" s="1824"/>
      <c r="AY73" s="1824"/>
      <c r="AZ73" s="1824"/>
      <c r="BA73" s="1824"/>
      <c r="BB73" s="1824"/>
      <c r="BC73" s="1824"/>
      <c r="BD73" s="1824"/>
      <c r="BE73" s="1824"/>
      <c r="BF73" s="1824"/>
      <c r="BG73" s="1637"/>
    </row>
    <row customHeight="1" ht="10.5">
      <c r="E74" s="909"/>
      <c r="F74" s="920"/>
      <c r="G74" s="920"/>
      <c r="H74" s="1174"/>
      <c r="I74" s="920"/>
      <c r="J74" s="920"/>
      <c r="K74" s="920"/>
      <c r="L74" s="1133"/>
      <c r="M74" s="1133"/>
      <c r="N74" s="920"/>
      <c r="O74" s="920"/>
      <c r="P74" s="920"/>
      <c r="Q74" s="920"/>
      <c r="R74" s="920"/>
      <c r="S74" s="920"/>
      <c r="T74" s="920"/>
      <c r="U74" s="920"/>
      <c r="V74" s="920"/>
      <c r="W74" s="920"/>
      <c r="X74" s="920"/>
      <c r="Y74" s="920"/>
      <c r="Z74" s="920"/>
      <c r="AA74" s="920"/>
      <c r="AB74" s="920"/>
      <c r="AC74" s="920"/>
      <c r="AD74" s="1133"/>
      <c r="AE74" s="920"/>
      <c r="AF74" s="920"/>
      <c r="AG74" s="920"/>
      <c r="AH74" s="1151"/>
      <c r="AI74" s="1144"/>
      <c r="AJ74" s="920"/>
      <c r="AK74" s="920"/>
      <c r="AL74" s="909"/>
      <c r="AM74" s="909"/>
      <c r="AN74" s="909"/>
      <c r="AO74" s="909"/>
      <c r="AP74" s="909"/>
      <c r="AQ74" s="909"/>
      <c r="AR74" s="909"/>
      <c r="AS74" s="909"/>
      <c r="AT74" s="909"/>
      <c r="AU74" s="909"/>
      <c r="AV74" s="909"/>
      <c r="AW74" s="909"/>
      <c r="AX74" s="909"/>
      <c r="AY74" s="909"/>
      <c r="AZ74" s="909"/>
      <c r="BA74" s="909"/>
      <c r="BB74" s="909"/>
      <c r="BC74" s="909"/>
      <c r="BD74" s="909"/>
      <c r="BE74" s="909"/>
      <c r="BF74" s="909"/>
      <c r="BG74" s="760">
        <v>10</v>
      </c>
    </row>
    <row customHeight="1" ht="13.5">
      <c r="E75" s="909"/>
      <c r="F75" s="916" t="s">
        <v>1063</v>
      </c>
      <c r="G75" s="916"/>
      <c r="H75" s="1173"/>
      <c r="I75" s="916"/>
      <c r="J75" s="916"/>
      <c r="K75" s="913"/>
      <c r="L75" s="1129"/>
      <c r="M75" s="1129"/>
      <c r="N75" s="915"/>
      <c r="O75" s="915"/>
      <c r="P75" s="915"/>
      <c r="Q75" s="915"/>
      <c r="R75" s="915"/>
      <c r="S75" s="915"/>
      <c r="T75" s="915"/>
      <c r="U75" s="915"/>
      <c r="V75" s="915"/>
      <c r="W75" s="915"/>
      <c r="X75" s="915"/>
      <c r="Y75" s="915"/>
      <c r="Z75" s="913"/>
      <c r="AA75" s="913"/>
      <c r="AB75" s="913"/>
      <c r="AC75" s="913"/>
      <c r="AD75" s="1129"/>
      <c r="AE75" s="913"/>
      <c r="AF75" s="913"/>
      <c r="AG75" s="913"/>
      <c r="AH75" s="1148"/>
      <c r="AI75" s="1141"/>
      <c r="AJ75" s="913"/>
      <c r="AK75" s="913"/>
      <c r="AL75" s="909"/>
      <c r="AM75" s="909"/>
      <c r="AN75" s="909"/>
      <c r="AO75" s="909"/>
      <c r="AP75" s="909"/>
      <c r="AQ75" s="909"/>
      <c r="AR75" s="909"/>
      <c r="AS75" s="909"/>
      <c r="AT75" s="909"/>
      <c r="AU75" s="909"/>
      <c r="AV75" s="909"/>
      <c r="AW75" s="909"/>
      <c r="AX75" s="909"/>
      <c r="AY75" s="909"/>
      <c r="AZ75" s="909"/>
      <c r="BA75" s="909"/>
      <c r="BB75" s="909"/>
      <c r="BC75" s="909"/>
      <c r="BD75" s="909"/>
      <c r="BE75" s="909"/>
      <c r="BF75" s="909"/>
      <c r="BG75" s="760">
        <v>13</v>
      </c>
    </row>
    <row customHeight="1" ht="10.5">
      <c r="BG76" s="760">
        <v>10</v>
      </c>
    </row>
    <row customHeight="1" ht="10.5">
      <c r="E77" s="909"/>
      <c r="F77" s="2433"/>
      <c r="G77" s="2433"/>
      <c r="H77" s="2433"/>
      <c r="I77" s="2433"/>
      <c r="J77" s="2433"/>
      <c r="K77" s="913"/>
      <c r="L77" s="1129"/>
      <c r="M77" s="1129"/>
      <c r="N77" s="915"/>
      <c r="O77" s="915"/>
      <c r="P77" s="915"/>
      <c r="Q77" s="915"/>
      <c r="R77" s="915"/>
      <c r="S77" s="915"/>
      <c r="T77" s="915"/>
      <c r="U77" s="915"/>
      <c r="V77" s="915"/>
      <c r="W77" s="915"/>
      <c r="X77" s="915"/>
      <c r="Y77" s="915"/>
      <c r="Z77" s="913"/>
      <c r="AA77" s="913"/>
      <c r="AB77" s="913"/>
      <c r="AC77" s="913"/>
      <c r="AD77" s="1129"/>
      <c r="AE77" s="913"/>
      <c r="AF77" s="913"/>
      <c r="AG77" s="913"/>
      <c r="AH77" s="1148"/>
      <c r="AI77" s="1141"/>
      <c r="AJ77" s="913"/>
      <c r="AK77" s="913"/>
      <c r="AL77" s="909"/>
      <c r="AM77" s="909"/>
      <c r="AN77" s="909"/>
      <c r="AO77" s="909"/>
      <c r="AP77" s="909"/>
      <c r="AQ77" s="909"/>
      <c r="AR77" s="909"/>
      <c r="AS77" s="909"/>
      <c r="AT77" s="909"/>
      <c r="AU77" s="909"/>
      <c r="AV77" s="909"/>
      <c r="AW77" s="909"/>
      <c r="AX77" s="909"/>
      <c r="AY77" s="909"/>
      <c r="AZ77" s="909"/>
      <c r="BA77" s="909"/>
      <c r="BB77" s="909"/>
      <c r="BC77" s="909"/>
      <c r="BD77" s="909"/>
      <c r="BE77" s="909"/>
      <c r="BF77" s="909"/>
      <c r="BG77" s="760">
        <v>10</v>
      </c>
    </row>
    <row customHeight="1" ht="10.5">
      <c r="E78" s="909"/>
      <c r="F78" s="2433"/>
      <c r="G78" s="2433"/>
      <c r="H78" s="2433"/>
      <c r="I78" s="2433"/>
      <c r="J78" s="2433"/>
      <c r="K78" s="913"/>
      <c r="L78" s="1129"/>
      <c r="M78" s="1129"/>
      <c r="N78" s="915"/>
      <c r="O78" s="915"/>
      <c r="P78" s="915"/>
      <c r="Q78" s="915"/>
      <c r="R78" s="915"/>
      <c r="S78" s="915"/>
      <c r="T78" s="915"/>
      <c r="U78" s="915"/>
      <c r="V78" s="915"/>
      <c r="W78" s="915"/>
      <c r="X78" s="915"/>
      <c r="Y78" s="915"/>
      <c r="Z78" s="913"/>
      <c r="AA78" s="913"/>
      <c r="AB78" s="913"/>
      <c r="AC78" s="913"/>
      <c r="AD78" s="1129"/>
      <c r="AE78" s="913"/>
      <c r="AF78" s="913"/>
      <c r="AG78" s="913"/>
      <c r="AH78" s="1148"/>
      <c r="AI78" s="1141"/>
      <c r="AJ78" s="913"/>
      <c r="AK78" s="913"/>
      <c r="AL78" s="909"/>
      <c r="AM78" s="909"/>
      <c r="AN78" s="909"/>
      <c r="AO78" s="909"/>
      <c r="AP78" s="909"/>
      <c r="AQ78" s="909"/>
      <c r="AR78" s="909"/>
      <c r="AS78" s="909"/>
      <c r="AT78" s="909"/>
      <c r="AU78" s="909"/>
      <c r="AV78" s="909"/>
      <c r="AW78" s="909"/>
      <c r="AX78" s="909"/>
      <c r="AY78" s="909"/>
      <c r="AZ78" s="909"/>
      <c r="BA78" s="909"/>
      <c r="BB78" s="909"/>
      <c r="BC78" s="909"/>
      <c r="BD78" s="909"/>
      <c r="BE78" s="909"/>
      <c r="BF78" s="909"/>
      <c r="BG78" s="760">
        <v>10</v>
      </c>
    </row>
    <row customHeight="1" ht="10.5">
      <c r="E79" s="909"/>
      <c r="F79" s="2433"/>
      <c r="G79" s="2433"/>
      <c r="H79" s="2433"/>
      <c r="I79" s="2433"/>
      <c r="J79" s="2433"/>
      <c r="K79" s="913"/>
      <c r="L79" s="1129"/>
      <c r="M79" s="1129"/>
      <c r="N79" s="915"/>
      <c r="O79" s="915"/>
      <c r="P79" s="915"/>
      <c r="Q79" s="915"/>
      <c r="R79" s="915"/>
      <c r="S79" s="915"/>
      <c r="T79" s="915"/>
      <c r="U79" s="915"/>
      <c r="V79" s="915"/>
      <c r="W79" s="915"/>
      <c r="X79" s="915"/>
      <c r="Y79" s="915"/>
      <c r="Z79" s="913"/>
      <c r="AA79" s="913"/>
      <c r="AB79" s="913"/>
      <c r="AC79" s="913"/>
      <c r="AD79" s="1129"/>
      <c r="AE79" s="913"/>
      <c r="AF79" s="913"/>
      <c r="AG79" s="913"/>
      <c r="AH79" s="1148"/>
      <c r="AI79" s="1141"/>
      <c r="AJ79" s="913"/>
      <c r="AK79" s="913"/>
      <c r="AL79" s="909"/>
      <c r="AM79" s="909"/>
      <c r="AN79" s="909"/>
      <c r="AO79" s="909"/>
      <c r="AP79" s="909"/>
      <c r="AQ79" s="909"/>
      <c r="AR79" s="909"/>
      <c r="AS79" s="909"/>
      <c r="AT79" s="909"/>
      <c r="AU79" s="909"/>
      <c r="AV79" s="909"/>
      <c r="AW79" s="909"/>
      <c r="AX79" s="909"/>
      <c r="AY79" s="909"/>
      <c r="AZ79" s="909"/>
      <c r="BA79" s="909"/>
      <c r="BB79" s="909"/>
      <c r="BC79" s="909"/>
      <c r="BD79" s="909"/>
      <c r="BE79" s="909"/>
      <c r="BF79" s="909"/>
      <c r="BG79" s="760">
        <v>10</v>
      </c>
    </row>
    <row customHeight="1" ht="10.5" hidden="1">
      <c r="A80" s="897" t="s">
        <v>82</v>
      </c>
      <c r="B80" s="897">
        <v>0</v>
      </c>
      <c r="C80" s="897">
        <v>0</v>
      </c>
      <c r="D80" s="419">
        <v>0</v>
      </c>
      <c r="E80" s="511">
        <v>3</v>
      </c>
      <c r="F80" s="760">
        <v>14</v>
      </c>
      <c r="G80" s="760">
        <v>3</v>
      </c>
      <c r="H80" s="1157">
        <v>7</v>
      </c>
      <c r="I80" s="760">
        <v>16</v>
      </c>
      <c r="J80" s="760">
        <v>16</v>
      </c>
      <c r="K80" s="760">
        <v>25</v>
      </c>
      <c r="L80" s="1127">
        <v>7</v>
      </c>
      <c r="M80" s="1127">
        <v>15</v>
      </c>
      <c r="N80" s="760">
        <v>3</v>
      </c>
      <c r="O80" s="760">
        <v>4</v>
      </c>
      <c r="P80" s="760">
        <v>8</v>
      </c>
      <c r="Q80" s="760">
        <v>21</v>
      </c>
      <c r="R80" s="760">
        <v>14</v>
      </c>
      <c r="S80" s="760">
        <v>17</v>
      </c>
      <c r="T80" s="760">
        <v>17</v>
      </c>
      <c r="U80" s="760">
        <v>9</v>
      </c>
      <c r="V80" s="760">
        <v>12</v>
      </c>
      <c r="W80" s="760">
        <v>9</v>
      </c>
      <c r="X80" s="760">
        <v>21</v>
      </c>
      <c r="Y80" s="760">
        <v>12</v>
      </c>
      <c r="Z80" s="760">
        <v>3</v>
      </c>
      <c r="AA80" s="760">
        <v>6</v>
      </c>
      <c r="AB80" s="760">
        <v>38</v>
      </c>
      <c r="AC80" s="760">
        <v>15</v>
      </c>
      <c r="AD80" s="1127">
        <v>0</v>
      </c>
      <c r="AE80" s="760">
        <v>0</v>
      </c>
      <c r="AF80" s="760">
        <v>16</v>
      </c>
      <c r="AG80" s="760">
        <v>16</v>
      </c>
      <c r="AH80" s="1146">
        <v>16</v>
      </c>
      <c r="AI80" s="1139">
        <v>0</v>
      </c>
      <c r="AJ80" s="760">
        <v>0</v>
      </c>
      <c r="AK80" s="760">
        <v>0</v>
      </c>
      <c r="AL80" s="760">
        <v>8</v>
      </c>
      <c r="AM80" s="760">
        <v>8</v>
      </c>
      <c r="AN80" s="760">
        <v>8</v>
      </c>
      <c r="AO80" s="760">
        <v>8</v>
      </c>
      <c r="AP80" s="760">
        <v>8</v>
      </c>
      <c r="AQ80" s="760">
        <v>8</v>
      </c>
      <c r="AR80" s="760">
        <v>8</v>
      </c>
      <c r="AS80" s="760">
        <v>8</v>
      </c>
      <c r="AT80" s="760">
        <v>8</v>
      </c>
      <c r="AU80" s="760">
        <v>8</v>
      </c>
      <c r="AV80" s="760">
        <v>8</v>
      </c>
      <c r="AW80" s="760">
        <v>8</v>
      </c>
      <c r="AX80" s="760">
        <v>8</v>
      </c>
      <c r="AY80" s="760">
        <v>8</v>
      </c>
      <c r="AZ80" s="760">
        <v>8</v>
      </c>
      <c r="BA80" s="760">
        <v>8</v>
      </c>
      <c r="BB80" s="760">
        <v>8</v>
      </c>
      <c r="BC80" s="760">
        <v>8</v>
      </c>
      <c r="BD80" s="760">
        <v>8</v>
      </c>
      <c r="BE80" s="760">
        <v>8</v>
      </c>
      <c r="BF80" s="760">
        <v>8</v>
      </c>
      <c r="BG80" s="760">
        <v>10</v>
      </c>
    </row>
  </sheetData>
  <sheetProtection formatColumns="0" formatRows="0" autoFilter="0" sort="0" insertRows="0" insertColumns="1" deleteRows="0" deleteColumns="0"/>
  <mergeCells count="309">
    <mergeCell ref="I9:J11"/>
    <mergeCell ref="K10:K12"/>
    <mergeCell ref="F78:J78"/>
    <mergeCell ref="F77:J77"/>
    <mergeCell ref="F5:K5"/>
    <mergeCell ref="F79:J7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 ref="AJ15:AJ19"/>
    <mergeCell ref="AK15:AK19"/>
    <mergeCell ref="I41:K41"/>
    <mergeCell ref="F15:F41"/>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G15:G19"/>
    <mergeCell ref="P16:P18"/>
    <mergeCell ref="Q16:Q18"/>
    <mergeCell ref="R16:R18"/>
    <mergeCell ref="AJ42:AJ46"/>
    <mergeCell ref="AK42:AK46"/>
    <mergeCell ref="I57:K57"/>
    <mergeCell ref="F42:F57"/>
    <mergeCell ref="AF42:AF46"/>
    <mergeCell ref="AG42:AG46"/>
    <mergeCell ref="AH42:AH46"/>
    <mergeCell ref="AI42:AI46"/>
    <mergeCell ref="S43:S45"/>
    <mergeCell ref="T43:T45"/>
    <mergeCell ref="U43:U45"/>
    <mergeCell ref="V43:V45"/>
    <mergeCell ref="W43:W45"/>
    <mergeCell ref="X43:X45"/>
    <mergeCell ref="Y43:Y45"/>
    <mergeCell ref="H42:H46"/>
    <mergeCell ref="I42:I46"/>
    <mergeCell ref="J42:J46"/>
    <mergeCell ref="K42:K46"/>
    <mergeCell ref="L42:L46"/>
    <mergeCell ref="M42:M46"/>
    <mergeCell ref="N43:N45"/>
    <mergeCell ref="O43:O45"/>
    <mergeCell ref="G42:G46"/>
    <mergeCell ref="P43:P45"/>
    <mergeCell ref="Q43:Q45"/>
    <mergeCell ref="R43:R45"/>
    <mergeCell ref="AJ58:AJ62"/>
    <mergeCell ref="AK58:AK62"/>
    <mergeCell ref="I73:K73"/>
    <mergeCell ref="F58:F73"/>
    <mergeCell ref="AF58:AF62"/>
    <mergeCell ref="AG58:AG62"/>
    <mergeCell ref="AH58:AH62"/>
    <mergeCell ref="AI58:AI62"/>
    <mergeCell ref="S59:S61"/>
    <mergeCell ref="T59:T61"/>
    <mergeCell ref="U59:U61"/>
    <mergeCell ref="V59:V61"/>
    <mergeCell ref="W59:W61"/>
    <mergeCell ref="X59:X61"/>
    <mergeCell ref="Y59:Y61"/>
    <mergeCell ref="H58:H62"/>
    <mergeCell ref="I58:I62"/>
    <mergeCell ref="J58:J62"/>
    <mergeCell ref="K58:K62"/>
    <mergeCell ref="L58:L62"/>
    <mergeCell ref="M58:M62"/>
    <mergeCell ref="N59:N61"/>
    <mergeCell ref="O59:O61"/>
    <mergeCell ref="G58:G62"/>
    <mergeCell ref="P59:P61"/>
    <mergeCell ref="Q59:Q61"/>
    <mergeCell ref="R59:R61"/>
    <mergeCell ref="AF20:AF25"/>
    <mergeCell ref="AG20:AG25"/>
    <mergeCell ref="AH20:AH25"/>
    <mergeCell ref="AI20:AI25"/>
    <mergeCell ref="AJ20:AJ25"/>
    <mergeCell ref="AK20:AK25"/>
    <mergeCell ref="N21:N24"/>
    <mergeCell ref="O21:O24"/>
    <mergeCell ref="P21:P24"/>
    <mergeCell ref="Q21:Q24"/>
    <mergeCell ref="R21:R24"/>
    <mergeCell ref="S21:S24"/>
    <mergeCell ref="T21:T24"/>
    <mergeCell ref="U21:U24"/>
    <mergeCell ref="V21:V24"/>
    <mergeCell ref="W21:W24"/>
    <mergeCell ref="X21:X24"/>
    <mergeCell ref="Y21:Y24"/>
    <mergeCell ref="H20:H25"/>
    <mergeCell ref="I20:I25"/>
    <mergeCell ref="J20:J25"/>
    <mergeCell ref="K20:K25"/>
    <mergeCell ref="L20:L25"/>
    <mergeCell ref="M20:M25"/>
    <mergeCell ref="G20:G25"/>
    <mergeCell ref="AF26:AF30"/>
    <mergeCell ref="AG26:AG30"/>
    <mergeCell ref="AH26:AH30"/>
    <mergeCell ref="AI26:AI30"/>
    <mergeCell ref="AJ26:AJ30"/>
    <mergeCell ref="AK26:AK30"/>
    <mergeCell ref="N27:N29"/>
    <mergeCell ref="O27:O29"/>
    <mergeCell ref="P27:P29"/>
    <mergeCell ref="Q27:Q29"/>
    <mergeCell ref="R27:R29"/>
    <mergeCell ref="S27:S29"/>
    <mergeCell ref="T27:T29"/>
    <mergeCell ref="U27:U29"/>
    <mergeCell ref="V27:V29"/>
    <mergeCell ref="W27:W29"/>
    <mergeCell ref="X27:X29"/>
    <mergeCell ref="Y27:Y29"/>
    <mergeCell ref="H26:H30"/>
    <mergeCell ref="I26:I30"/>
    <mergeCell ref="J26:J30"/>
    <mergeCell ref="K26:K30"/>
    <mergeCell ref="L26:L30"/>
    <mergeCell ref="M26:M30"/>
    <mergeCell ref="G26:G30"/>
    <mergeCell ref="AF31:AF35"/>
    <mergeCell ref="AG31:AG35"/>
    <mergeCell ref="AH31:AH35"/>
    <mergeCell ref="AI31:AI35"/>
    <mergeCell ref="AJ31:AJ35"/>
    <mergeCell ref="AK31:AK35"/>
    <mergeCell ref="N32:N34"/>
    <mergeCell ref="O32:O34"/>
    <mergeCell ref="P32:P34"/>
    <mergeCell ref="Q32:Q34"/>
    <mergeCell ref="R32:R34"/>
    <mergeCell ref="S32:S34"/>
    <mergeCell ref="T32:T34"/>
    <mergeCell ref="U32:U34"/>
    <mergeCell ref="V32:V34"/>
    <mergeCell ref="W32:W34"/>
    <mergeCell ref="X32:X34"/>
    <mergeCell ref="Y32:Y34"/>
    <mergeCell ref="H31:H35"/>
    <mergeCell ref="I31:I35"/>
    <mergeCell ref="J31:J35"/>
    <mergeCell ref="K31:K35"/>
    <mergeCell ref="L31:L35"/>
    <mergeCell ref="M31:M35"/>
    <mergeCell ref="G31:G35"/>
    <mergeCell ref="AF36:AF40"/>
    <mergeCell ref="AG36:AG40"/>
    <mergeCell ref="AH36:AH40"/>
    <mergeCell ref="AI36:AI40"/>
    <mergeCell ref="AJ36:AJ40"/>
    <mergeCell ref="AK36:AK40"/>
    <mergeCell ref="N37:N39"/>
    <mergeCell ref="O37:O39"/>
    <mergeCell ref="P37:P39"/>
    <mergeCell ref="Q37:Q39"/>
    <mergeCell ref="R37:R39"/>
    <mergeCell ref="S37:S39"/>
    <mergeCell ref="T37:T39"/>
    <mergeCell ref="U37:U39"/>
    <mergeCell ref="V37:V39"/>
    <mergeCell ref="W37:W39"/>
    <mergeCell ref="X37:X39"/>
    <mergeCell ref="Y37:Y39"/>
    <mergeCell ref="H36:H40"/>
    <mergeCell ref="I36:I40"/>
    <mergeCell ref="J36:J40"/>
    <mergeCell ref="K36:K40"/>
    <mergeCell ref="L36:L40"/>
    <mergeCell ref="M36:M40"/>
    <mergeCell ref="G36:G40"/>
    <mergeCell ref="AF47:AF51"/>
    <mergeCell ref="AG47:AG51"/>
    <mergeCell ref="AH47:AH51"/>
    <mergeCell ref="AI47:AI51"/>
    <mergeCell ref="AJ47:AJ51"/>
    <mergeCell ref="AK47:AK51"/>
    <mergeCell ref="N48:N50"/>
    <mergeCell ref="O48:O50"/>
    <mergeCell ref="P48:P50"/>
    <mergeCell ref="Q48:Q50"/>
    <mergeCell ref="R48:R50"/>
    <mergeCell ref="S48:S50"/>
    <mergeCell ref="T48:T50"/>
    <mergeCell ref="U48:U50"/>
    <mergeCell ref="V48:V50"/>
    <mergeCell ref="W48:W50"/>
    <mergeCell ref="X48:X50"/>
    <mergeCell ref="Y48:Y50"/>
    <mergeCell ref="H47:H51"/>
    <mergeCell ref="I47:I51"/>
    <mergeCell ref="J47:J51"/>
    <mergeCell ref="K47:K51"/>
    <mergeCell ref="L47:L51"/>
    <mergeCell ref="M47:M51"/>
    <mergeCell ref="G47:G51"/>
    <mergeCell ref="AF52:AF56"/>
    <mergeCell ref="AG52:AG56"/>
    <mergeCell ref="AH52:AH56"/>
    <mergeCell ref="AI52:AI56"/>
    <mergeCell ref="AJ52:AJ56"/>
    <mergeCell ref="AK52:AK56"/>
    <mergeCell ref="N53:N55"/>
    <mergeCell ref="O53:O55"/>
    <mergeCell ref="P53:P55"/>
    <mergeCell ref="Q53:Q55"/>
    <mergeCell ref="R53:R55"/>
    <mergeCell ref="S53:S55"/>
    <mergeCell ref="T53:T55"/>
    <mergeCell ref="U53:U55"/>
    <mergeCell ref="V53:V55"/>
    <mergeCell ref="W53:W55"/>
    <mergeCell ref="X53:X55"/>
    <mergeCell ref="Y53:Y55"/>
    <mergeCell ref="H52:H56"/>
    <mergeCell ref="I52:I56"/>
    <mergeCell ref="J52:J56"/>
    <mergeCell ref="K52:K56"/>
    <mergeCell ref="L52:L56"/>
    <mergeCell ref="M52:M56"/>
    <mergeCell ref="G52:G56"/>
    <mergeCell ref="AF63:AF67"/>
    <mergeCell ref="AG63:AG67"/>
    <mergeCell ref="AH63:AH67"/>
    <mergeCell ref="AI63:AI67"/>
    <mergeCell ref="AJ63:AJ67"/>
    <mergeCell ref="AK63:AK67"/>
    <mergeCell ref="N64:N66"/>
    <mergeCell ref="O64:O66"/>
    <mergeCell ref="P64:P66"/>
    <mergeCell ref="Q64:Q66"/>
    <mergeCell ref="R64:R66"/>
    <mergeCell ref="S64:S66"/>
    <mergeCell ref="T64:T66"/>
    <mergeCell ref="U64:U66"/>
    <mergeCell ref="V64:V66"/>
    <mergeCell ref="W64:W66"/>
    <mergeCell ref="X64:X66"/>
    <mergeCell ref="Y64:Y66"/>
    <mergeCell ref="H63:H67"/>
    <mergeCell ref="I63:I67"/>
    <mergeCell ref="J63:J67"/>
    <mergeCell ref="K63:K67"/>
    <mergeCell ref="L63:L67"/>
    <mergeCell ref="M63:M67"/>
    <mergeCell ref="G63:G67"/>
    <mergeCell ref="AF68:AF72"/>
    <mergeCell ref="AG68:AG72"/>
    <mergeCell ref="AH68:AH72"/>
    <mergeCell ref="AI68:AI72"/>
    <mergeCell ref="AJ68:AJ72"/>
    <mergeCell ref="AK68:AK72"/>
    <mergeCell ref="N69:N71"/>
    <mergeCell ref="O69:O71"/>
    <mergeCell ref="P69:P71"/>
    <mergeCell ref="Q69:Q71"/>
    <mergeCell ref="R69:R71"/>
    <mergeCell ref="S69:S71"/>
    <mergeCell ref="T69:T71"/>
    <mergeCell ref="U69:U71"/>
    <mergeCell ref="V69:V71"/>
    <mergeCell ref="W69:W71"/>
    <mergeCell ref="X69:X71"/>
    <mergeCell ref="Y69:Y71"/>
    <mergeCell ref="H68:H72"/>
    <mergeCell ref="I68:I72"/>
    <mergeCell ref="J68:J72"/>
    <mergeCell ref="K68:K72"/>
    <mergeCell ref="L68:L72"/>
    <mergeCell ref="M68:M72"/>
    <mergeCell ref="G68:G72"/>
  </mergeCells>
  <dataValidations count="28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textLength" operator="lessThanOrEqual" allowBlank="1" showInputMessage="1" showErrorMessage="1" errorTitle="Ошибка" error="Допускается ввод не более 900 символов!" sqref="K16">
      <formula1>900</formula1>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textLength" operator="lessThanOrEqual" allowBlank="1" showInputMessage="1" showErrorMessage="1" errorTitle="Ошибка" error="Допускается ввод не более 900 символов!" sqref="K17">
      <formula1>900</formula1>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textLength" operator="lessThanOrEqual" allowBlank="1" showInputMessage="1" showErrorMessage="1" errorTitle="Ошибка" error="Допускается ввод не более 900 символов!" sqref="K18">
      <formula1>900</formula1>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2">
      <formula1>"a"</formula1>
    </dataValidation>
    <dataValidation type="textLength" operator="lessThanOrEqual" allowBlank="1" showInputMessage="1" showErrorMessage="1" errorTitle="Ошибка" error="Допускается ввод не более 900 символов!" sqref="K42">
      <formula1>900</formula1>
    </dataValidation>
    <dataValidation type="textLength" operator="lessThanOrEqual" allowBlank="1" showInputMessage="1" showErrorMessage="1" errorTitle="Ошибка" error="Допускается ввод не более 900 символов!" sqref="M42">
      <formula1>900</formula1>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textLength" operator="lessThanOrEqual" allowBlank="1" showInputMessage="1" showErrorMessage="1" errorTitle="Ошибка" error="Допускается ввод не более 900 символов!" sqref="K43">
      <formula1>900</formula1>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textLength" operator="lessThanOrEqual" allowBlank="1" showInputMessage="1" showErrorMessage="1" errorTitle="Ошибка" error="Допускается ввод не более 900 символов!" sqref="K44">
      <formula1>900</formula1>
    </dataValidation>
    <dataValidation type="decimal" allowBlank="1" showErrorMessage="1" errorTitle="Ошибка" error="Допускается ввод только неотрицательных чисел!" sqref="AC44">
      <formula1>0</formula1>
      <formula2>9.99999999999999E+23</formula2>
    </dataValidation>
    <dataValidation type="decimal" allowBlank="1" showErrorMessage="1" errorTitle="Ошибка" error="Допускается ввод только неотрицательных чисел!" sqref="AE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
      <formula1>"a"</formula1>
    </dataValidation>
    <dataValidation type="textLength" operator="lessThanOrEqual" allowBlank="1" showInputMessage="1" showErrorMessage="1" errorTitle="Ошибка" error="Допускается ввод не более 900 символов!" sqref="K45">
      <formula1>900</formula1>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textLength" operator="lessThanOrEqual" allowBlank="1" showInputMessage="1" showErrorMessage="1" errorTitle="Ошибка" error="Допускается ввод не более 900 символов!" sqref="K58">
      <formula1>900</formula1>
    </dataValidation>
    <dataValidation type="textLength" operator="lessThanOrEqual" allowBlank="1" showInputMessage="1" showErrorMessage="1" errorTitle="Ошибка" error="Допускается ввод не более 900 символов!" sqref="M58">
      <formula1>900</formula1>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9">
      <formula1>"a"</formula1>
    </dataValidation>
    <dataValidation type="textLength" operator="lessThanOrEqual" allowBlank="1" showInputMessage="1" showErrorMessage="1" errorTitle="Ошибка" error="Допускается ввод не более 900 символов!" sqref="K59">
      <formula1>900</formula1>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textLength" operator="lessThanOrEqual" allowBlank="1" showInputMessage="1" showErrorMessage="1" errorTitle="Ошибка" error="Допускается ввод не более 900 символов!" sqref="K60">
      <formula1>900</formula1>
    </dataValidation>
    <dataValidation type="decimal" allowBlank="1" showErrorMessage="1" errorTitle="Ошибка" error="Допускается ввод только неотрицательных чисел!" sqref="AC60">
      <formula1>0</formula1>
      <formula2>9.99999999999999E+23</formula2>
    </dataValidation>
    <dataValidation type="decimal" allowBlank="1" showErrorMessage="1" errorTitle="Ошибка" error="Допускается ввод только неотрицательных чисел!" sqref="AE60">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
      <formula1>"a"</formula1>
    </dataValidation>
    <dataValidation type="textLength" operator="lessThanOrEqual" allowBlank="1" showInputMessage="1" showErrorMessage="1" errorTitle="Ошибка" error="Допускается ввод не более 900 символов!" sqref="K61">
      <formula1>900</formula1>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textLength" operator="lessThanOrEqual" allowBlank="1" showInputMessage="1" showErrorMessage="1" errorTitle="Ошибка" error="Допускается ввод не более 900 символов!" sqref="K21">
      <formula1>900</formula1>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textLength" operator="lessThanOrEqual" allowBlank="1" showInputMessage="1" showErrorMessage="1" errorTitle="Ошибка" error="Допускается ввод не более 900 символов!" sqref="K22">
      <formula1>900</formula1>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4">
      <formula1>"a"</formula1>
    </dataValidation>
    <dataValidation type="textLength" operator="lessThanOrEqual" allowBlank="1" showInputMessage="1" showErrorMessage="1" errorTitle="Ошибка" error="Допускается ввод не более 900 символов!" sqref="K24">
      <formula1>900</formula1>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5">
      <formula1>0</formula1>
      <formula2>9.99999999999999E+23</formula2>
    </dataValidation>
    <dataValidation type="whole" allowBlank="1" showErrorMessage="1" errorTitle="Ошибка" error="Допускается ввод только неотрицательных целых чисел!" sqref="AI2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textLength" operator="lessThanOrEqual" allowBlank="1" showInputMessage="1" showErrorMessage="1" errorTitle="Ошибка" error="Допускается ввод не более 900 символов!" sqref="K26">
      <formula1>900</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textLength" operator="lessThanOrEqual" allowBlank="1" showInputMessage="1" showErrorMessage="1" errorTitle="Ошибка" error="Допускается ввод не более 900 символов!" sqref="K27">
      <formula1>900</formula1>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textLength" operator="lessThanOrEqual" allowBlank="1" showInputMessage="1" showErrorMessage="1" errorTitle="Ошибка" error="Допускается ввод не более 900 символов!" sqref="K28">
      <formula1>900</formula1>
    </dataValidation>
    <dataValidation type="decimal" allowBlank="1" showErrorMessage="1" errorTitle="Ошибка" error="Допускается ввод только неотрицательных чисел!" sqref="AC28">
      <formula1>0</formula1>
      <formula2>9.99999999999999E+23</formula2>
    </dataValidation>
    <dataValidation type="decimal" allowBlank="1" showErrorMessage="1" errorTitle="Ошибка" error="Допускается ввод только неотрицательных чисел!" sqref="AE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
      <formula1>"a"</formula1>
    </dataValidation>
    <dataValidation type="textLength" operator="lessThanOrEqual" allowBlank="1" showInputMessage="1" showErrorMessage="1" errorTitle="Ошибка" error="Допускается ввод не более 900 символов!" sqref="K29">
      <formula1>900</formula1>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textLength" operator="lessThanOrEqual" allowBlank="1" showInputMessage="1" showErrorMessage="1" errorTitle="Ошибка" error="Допускается ввод не более 900 символов!" sqref="M31">
      <formula1>900</formula1>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textLength" operator="lessThanOrEqual" allowBlank="1" showInputMessage="1" showErrorMessage="1" errorTitle="Ошибка" error="Допускается ввод не более 900 символов!" sqref="K32">
      <formula1>900</formula1>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textLength" operator="lessThanOrEqual" allowBlank="1" showInputMessage="1" showErrorMessage="1" errorTitle="Ошибка" error="Допускается ввод не более 900 символов!" sqref="K33">
      <formula1>900</formula1>
    </dataValidation>
    <dataValidation type="decimal" allowBlank="1" showErrorMessage="1" errorTitle="Ошибка" error="Допускается ввод только неотрицательных чисел!" sqref="AC33">
      <formula1>0</formula1>
      <formula2>9.99999999999999E+23</formula2>
    </dataValidation>
    <dataValidation type="decimal" allowBlank="1" showErrorMessage="1" errorTitle="Ошибка" error="Допускается ввод только неотрицательных чисел!" sqref="AE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textLength" operator="lessThanOrEqual" allowBlank="1" showInputMessage="1" showErrorMessage="1" errorTitle="Ошибка" error="Допускается ввод не более 900 символов!" sqref="K34">
      <formula1>900</formula1>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6">
      <formula1>"a"</formula1>
    </dataValidation>
    <dataValidation type="textLength" operator="lessThanOrEqual" allowBlank="1" showInputMessage="1" showErrorMessage="1" errorTitle="Ошибка" error="Допускается ввод не более 900 символов!" sqref="K36">
      <formula1>900</formula1>
    </dataValidation>
    <dataValidation type="textLength" operator="lessThanOrEqual" allowBlank="1" showInputMessage="1" showErrorMessage="1" errorTitle="Ошибка" error="Допускается ввод не более 900 символов!" sqref="M36">
      <formula1>900</formula1>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7">
      <formula1>"a"</formula1>
    </dataValidation>
    <dataValidation type="textLength" operator="lessThanOrEqual" allowBlank="1" showInputMessage="1" showErrorMessage="1" errorTitle="Ошибка" error="Допускается ввод не более 900 символов!" sqref="K37">
      <formula1>900</formula1>
    </dataValidation>
    <dataValidation type="whole" allowBlank="1" showErrorMessage="1" errorTitle="Ошибка" error="Допускается ввод только неотрицательных целых чисел!" sqref="AF37">
      <formula1>0</formula1>
      <formula2>9.99999999999999E+23</formula2>
    </dataValidation>
    <dataValidation type="whole" allowBlank="1" showErrorMessage="1" errorTitle="Ошибка" error="Допускается ввод только неотрицательных целых чисел!" sqref="AI3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textLength" operator="lessThanOrEqual" allowBlank="1" showInputMessage="1" showErrorMessage="1" errorTitle="Ошибка" error="Допускается ввод не более 900 символов!" sqref="K38">
      <formula1>900</formula1>
    </dataValidation>
    <dataValidation type="decimal" allowBlank="1" showErrorMessage="1" errorTitle="Ошибка" error="Допускается ввод только неотрицательных чисел!" sqref="AC38">
      <formula1>0</formula1>
      <formula2>9.99999999999999E+23</formula2>
    </dataValidation>
    <dataValidation type="decimal" allowBlank="1" showErrorMessage="1" errorTitle="Ошибка" error="Допускается ввод только неотрицательных чисел!" sqref="AE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textLength" operator="lessThanOrEqual" allowBlank="1" showInputMessage="1" showErrorMessage="1" errorTitle="Ошибка" error="Допускается ввод не более 900 символов!" sqref="K39">
      <formula1>900</formula1>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textLength" operator="lessThanOrEqual" allowBlank="1" showInputMessage="1" showErrorMessage="1" errorTitle="Ошибка" error="Допускается ввод не более 900 символов!" sqref="K23">
      <formula1>900</formula1>
    </dataValidation>
    <dataValidation type="decimal" allowBlank="1" showErrorMessage="1" errorTitle="Ошибка" error="Допускается ввод только неотрицательных чисел!" sqref="AC23">
      <formula1>0</formula1>
      <formula2>9.99999999999999E+23</formula2>
    </dataValidation>
    <dataValidation type="decimal" allowBlank="1" showErrorMessage="1" errorTitle="Ошибка" error="Допускается ввод только неотрицательных чисел!" sqref="AE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textLength" operator="lessThanOrEqual" allowBlank="1" showInputMessage="1" showErrorMessage="1" errorTitle="Ошибка" error="Допускается ввод не более 900 символов!" sqref="K47">
      <formula1>900</formula1>
    </dataValidation>
    <dataValidation type="textLength" operator="lessThanOrEqual" allowBlank="1" showInputMessage="1" showErrorMessage="1" errorTitle="Ошибка" error="Допускается ввод не более 900 символов!" sqref="M47">
      <formula1>900</formula1>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8">
      <formula1>"a"</formula1>
    </dataValidation>
    <dataValidation type="textLength" operator="lessThanOrEqual" allowBlank="1" showInputMessage="1" showErrorMessage="1" errorTitle="Ошибка" error="Допускается ввод не более 900 символов!" sqref="K48">
      <formula1>900</formula1>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textLength" operator="lessThanOrEqual" allowBlank="1" showInputMessage="1" showErrorMessage="1" errorTitle="Ошибка" error="Допускается ввод не более 900 символов!" sqref="K49">
      <formula1>900</formula1>
    </dataValidation>
    <dataValidation type="decimal" allowBlank="1" showErrorMessage="1" errorTitle="Ошибка" error="Допускается ввод только неотрицательных чисел!" sqref="AC49">
      <formula1>0</formula1>
      <formula2>9.99999999999999E+23</formula2>
    </dataValidation>
    <dataValidation type="decimal" allowBlank="1" showErrorMessage="1" errorTitle="Ошибка" error="Допускается ввод только неотрицательных чисел!" sqref="AE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textLength" operator="lessThanOrEqual" allowBlank="1" showInputMessage="1" showErrorMessage="1" errorTitle="Ошибка" error="Допускается ввод не более 900 символов!" sqref="K50">
      <formula1>900</formula1>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textLength" operator="lessThanOrEqual" allowBlank="1" showInputMessage="1" showErrorMessage="1" errorTitle="Ошибка" error="Допускается ввод не более 900 символов!" sqref="K52">
      <formula1>900</formula1>
    </dataValidation>
    <dataValidation type="textLength" operator="lessThanOrEqual" allowBlank="1" showInputMessage="1" showErrorMessage="1" errorTitle="Ошибка" error="Допускается ввод не более 900 символов!" sqref="M52">
      <formula1>900</formula1>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textLength" operator="lessThanOrEqual" allowBlank="1" showInputMessage="1" showErrorMessage="1" errorTitle="Ошибка" error="Допускается ввод не более 900 символов!" sqref="K53">
      <formula1>900</formula1>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4">
      <formula1>"a"</formula1>
    </dataValidation>
    <dataValidation type="textLength" operator="lessThanOrEqual" allowBlank="1" showInputMessage="1" showErrorMessage="1" errorTitle="Ошибка" error="Допускается ввод не более 900 символов!" sqref="K54">
      <formula1>900</formula1>
    </dataValidation>
    <dataValidation type="decimal" allowBlank="1" showErrorMessage="1" errorTitle="Ошибка" error="Допускается ввод только неотрицательных чисел!" sqref="AC54">
      <formula1>0</formula1>
      <formula2>9.99999999999999E+23</formula2>
    </dataValidation>
    <dataValidation type="decimal" allowBlank="1" showErrorMessage="1" errorTitle="Ошибка" error="Допускается ввод только неотрицательных чисел!" sqref="AE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textLength" operator="lessThanOrEqual" allowBlank="1" showInputMessage="1" showErrorMessage="1" errorTitle="Ошибка" error="Допускается ввод не более 900 символов!" sqref="K55">
      <formula1>900</formula1>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textLength" operator="lessThanOrEqual" allowBlank="1" showInputMessage="1" showErrorMessage="1" errorTitle="Ошибка" error="Допускается ввод не более 900 символов!" sqref="K63">
      <formula1>900</formula1>
    </dataValidation>
    <dataValidation type="textLength" operator="lessThanOrEqual" allowBlank="1" showInputMessage="1" showErrorMessage="1" errorTitle="Ошибка" error="Допускается ввод не более 900 символов!" sqref="M63">
      <formula1>900</formula1>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4">
      <formula1>"a"</formula1>
    </dataValidation>
    <dataValidation type="textLength" operator="lessThanOrEqual" allowBlank="1" showInputMessage="1" showErrorMessage="1" errorTitle="Ошибка" error="Допускается ввод не более 900 символов!" sqref="K64">
      <formula1>900</formula1>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5">
      <formula1>"a"</formula1>
    </dataValidation>
    <dataValidation type="textLength" operator="lessThanOrEqual" allowBlank="1" showInputMessage="1" showErrorMessage="1" errorTitle="Ошибка" error="Допускается ввод не более 900 символов!" sqref="K65">
      <formula1>900</formula1>
    </dataValidation>
    <dataValidation type="decimal" allowBlank="1" showErrorMessage="1" errorTitle="Ошибка" error="Допускается ввод только неотрицательных чисел!" sqref="AC65">
      <formula1>0</formula1>
      <formula2>9.99999999999999E+23</formula2>
    </dataValidation>
    <dataValidation type="decimal" allowBlank="1" showErrorMessage="1" errorTitle="Ошибка" error="Допускается ввод только неотрицательных чисел!" sqref="AE65">
      <formula1>0</formula1>
      <formula2>9.99999999999999E+23</formula2>
    </dataValidation>
    <dataValidation type="whole" allowBlank="1" showErrorMessage="1" errorTitle="Ошибка" error="Допускается ввод только неотрицательных целых чисел!" sqref="AF65">
      <formula1>0</formula1>
      <formula2>9.99999999999999E+23</formula2>
    </dataValidation>
    <dataValidation type="whole" allowBlank="1" showErrorMessage="1" errorTitle="Ошибка" error="Допускается ввод только неотрицательных целых чисел!" sqref="AI65">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textLength" operator="lessThanOrEqual" allowBlank="1" showInputMessage="1" showErrorMessage="1" errorTitle="Ошибка" error="Допускается ввод не более 900 символов!" sqref="K66">
      <formula1>900</formula1>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textLength" operator="lessThanOrEqual" allowBlank="1" showInputMessage="1" showErrorMessage="1" errorTitle="Ошибка" error="Допускается ввод не более 900 символов!" sqref="K68">
      <formula1>900</formula1>
    </dataValidation>
    <dataValidation type="textLength" operator="lessThanOrEqual" allowBlank="1" showInputMessage="1" showErrorMessage="1" errorTitle="Ошибка" error="Допускается ввод не более 900 символов!" sqref="M68">
      <formula1>900</formula1>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textLength" operator="lessThanOrEqual" allowBlank="1" showInputMessage="1" showErrorMessage="1" errorTitle="Ошибка" error="Допускается ввод не более 900 символов!" sqref="K69">
      <formula1>900</formula1>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0">
      <formula1>"a"</formula1>
    </dataValidation>
    <dataValidation type="textLength" operator="lessThanOrEqual" allowBlank="1" showInputMessage="1" showErrorMessage="1" errorTitle="Ошибка" error="Допускается ввод не более 900 символов!" sqref="K70">
      <formula1>900</formula1>
    </dataValidation>
    <dataValidation type="decimal" allowBlank="1" showErrorMessage="1" errorTitle="Ошибка" error="Допускается ввод только неотрицательных чисел!" sqref="AC70">
      <formula1>0</formula1>
      <formula2>9.99999999999999E+23</formula2>
    </dataValidation>
    <dataValidation type="decimal" allowBlank="1" showErrorMessage="1" errorTitle="Ошибка" error="Допускается ввод только неотрицательных чисел!" sqref="AE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textLength" operator="lessThanOrEqual" allowBlank="1" showInputMessage="1" showErrorMessage="1" errorTitle="Ошибка" error="Допускается ввод не более 900 символов!" sqref="K71">
      <formula1>900</formula1>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4C76E6-0D58-2ED9-0F68-B0116DE81208}" mc:Ignorable="x14ac xr xr2 xr3">
  <sheetPr>
    <tabColor theme="9" tint="-0.25"/>
  </sheetPr>
  <dimension ref="A1:AB59"/>
  <sheetViews>
    <sheetView showGridLines="0" zoomScale="85" workbookViewId="0">
      <pane xSplit="9" ySplit="13" topLeftCell="J14" activePane="bottomRight" state="frozen"/>
      <selection pane="bottomLeft" activeCell="A14" sqref="A14"/>
      <selection pane="topRight" activeCell="J1" sqref="J1"/>
      <selection pane="bottomRight" activeCell="N1" sqref="N1:N59"/>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4" style="1637" width="21.7109375" hidden="1" customWidth="1"/>
    <col min="15" max="15" style="1637" width="0.140625" customWidth="1"/>
    <col min="16" max="16" style="1637" width="1.00390625" customWidth="1"/>
    <col min="17" max="27" style="1637" width="8.00390625" customWidth="1"/>
    <col min="28" max="28" style="1637" width="9.140625" hidden="1"/>
  </cols>
  <sheetData>
    <row s="1368" customFormat="1" customHeight="1" ht="10.5" hidden="1">
      <c r="A1" s="1168"/>
      <c r="B1" s="1168"/>
      <c r="C1" s="1168"/>
      <c r="E1" s="539"/>
      <c r="K1" s="1368"/>
      <c r="L1" s="1368"/>
      <c r="M1" s="1368"/>
      <c r="N1" s="1368"/>
      <c r="O1" s="1368"/>
      <c r="AB1" s="1162" t="s">
        <v>14</v>
      </c>
    </row>
    <row customHeight="1" ht="10.5" hidden="1">
      <c r="K2" s="1637"/>
      <c r="L2" s="1637"/>
      <c r="M2" s="1637"/>
      <c r="N2" s="1637"/>
      <c r="O2" s="1637"/>
      <c r="AB2" s="1157">
        <v>0</v>
      </c>
    </row>
    <row s="1634" customFormat="1" customHeight="1" ht="10.5" hidden="1">
      <c r="A3" s="1168"/>
      <c r="B3" s="1168"/>
      <c r="C3" s="1168"/>
      <c r="D3" s="1162"/>
      <c r="E3" s="364"/>
      <c r="K3" s="1634"/>
      <c r="L3" s="1634"/>
      <c r="M3" s="1634"/>
      <c r="N3" s="1634"/>
      <c r="O3" s="1634"/>
      <c r="AB3" s="1158">
        <v>0</v>
      </c>
    </row>
    <row customHeight="1" ht="3">
      <c r="K4" s="1637"/>
      <c r="L4" s="1637"/>
      <c r="M4" s="1637"/>
      <c r="N4" s="1637"/>
      <c r="O4" s="1637"/>
      <c r="AB4" s="1157">
        <v>3</v>
      </c>
    </row>
    <row customHeight="1" ht="27.299999999999997">
      <c r="F5" s="231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310"/>
      <c r="H5" s="2310"/>
      <c r="I5" s="2310"/>
      <c r="J5" s="2310"/>
      <c r="K5" s="2310"/>
      <c r="L5" s="2310"/>
      <c r="M5" s="2310"/>
      <c r="N5" s="2310"/>
      <c r="O5" s="2310"/>
      <c r="AB5" s="1157">
        <v>26</v>
      </c>
    </row>
    <row customHeight="1" ht="10.5">
      <c r="F6" s="2224" t="str">
        <f>IF(org=0,"Не определено",org)</f>
        <v>Муниципальное унитарное предприятие "Невельские коммунальные сети"</v>
      </c>
      <c r="G6" s="2224"/>
      <c r="H6" s="2224"/>
      <c r="I6" s="2224"/>
      <c r="J6" s="2224"/>
      <c r="K6" s="2311"/>
      <c r="L6" s="2311"/>
      <c r="M6" s="2311"/>
      <c r="N6" s="2311"/>
      <c r="O6" s="2311"/>
      <c r="AB6" s="1157">
        <v>10</v>
      </c>
    </row>
    <row customHeight="1" ht="11.549999999999999">
      <c r="E7" s="1172"/>
      <c r="F7" s="1229"/>
      <c r="G7" s="1229"/>
      <c r="H7" s="1229"/>
      <c r="I7" s="1229"/>
      <c r="J7" s="1229"/>
      <c r="K7" s="1229" t="s">
        <v>22</v>
      </c>
      <c r="L7" s="1229"/>
      <c r="M7" s="1229" t="s">
        <v>22</v>
      </c>
      <c r="N7" s="1229" t="s">
        <v>22</v>
      </c>
      <c r="O7" s="1229"/>
      <c r="P7" s="1159"/>
      <c r="Q7" s="1159"/>
      <c r="R7" s="1159"/>
      <c r="S7" s="1159"/>
      <c r="T7" s="1159"/>
      <c r="U7" s="1159"/>
      <c r="V7" s="1159"/>
      <c r="W7" s="1159"/>
      <c r="X7" s="1159"/>
      <c r="Y7" s="1159"/>
      <c r="Z7" s="1159"/>
      <c r="AA7" s="1159"/>
      <c r="AB7" s="1157">
        <v>11</v>
      </c>
    </row>
    <row s="1644" customFormat="1" customHeight="1" ht="4.2">
      <c r="A8" s="1169"/>
      <c r="B8" s="1169"/>
      <c r="C8" s="1169"/>
      <c r="E8" s="1230"/>
      <c r="F8" s="1231"/>
      <c r="G8" s="1231"/>
      <c r="H8" s="1231"/>
      <c r="I8" s="1231"/>
      <c r="J8" s="1231"/>
      <c r="K8" s="1231" t="s">
        <v>1007</v>
      </c>
      <c r="L8" s="1231"/>
      <c r="M8" s="1231"/>
      <c r="N8" s="1231"/>
      <c r="O8" s="1231"/>
      <c r="P8" s="1230"/>
      <c r="Q8" s="1230"/>
      <c r="R8" s="1230"/>
      <c r="S8" s="1230"/>
      <c r="T8" s="1230"/>
      <c r="U8" s="1230"/>
      <c r="V8" s="1230"/>
      <c r="W8" s="1230"/>
      <c r="X8" s="1230"/>
      <c r="Y8" s="1230"/>
      <c r="Z8" s="1230"/>
      <c r="AA8" s="1230"/>
      <c r="AB8" s="513">
        <v>4</v>
      </c>
    </row>
    <row customHeight="1" ht="10.5">
      <c r="E9" s="1172"/>
      <c r="F9" s="2444" t="s">
        <v>295</v>
      </c>
      <c r="G9" s="2445"/>
      <c r="H9" s="2445"/>
      <c r="I9" s="2445"/>
      <c r="J9" s="2445"/>
      <c r="K9" s="2445"/>
      <c r="L9" s="2445"/>
      <c r="M9" s="2445"/>
      <c r="N9" s="2445"/>
      <c r="O9" s="2445"/>
      <c r="P9" s="1242"/>
      <c r="Q9" s="1159"/>
      <c r="R9" s="1159"/>
      <c r="S9" s="1159"/>
      <c r="T9" s="1159"/>
      <c r="U9" s="1159"/>
      <c r="V9" s="1159"/>
      <c r="W9" s="1159"/>
      <c r="X9" s="1159"/>
      <c r="Y9" s="1159"/>
      <c r="Z9" s="1159"/>
      <c r="AA9" s="1159"/>
      <c r="AB9" s="1157">
        <v>10</v>
      </c>
    </row>
    <row customHeight="1" ht="25.2">
      <c r="E10" s="1159"/>
      <c r="F10" s="2448" t="s">
        <v>88</v>
      </c>
      <c r="G10" s="2453" t="s">
        <v>1064</v>
      </c>
      <c r="H10" s="2451" t="s">
        <v>1065</v>
      </c>
      <c r="I10" s="2451"/>
      <c r="J10" s="2451"/>
      <c r="K10" s="2451" t="s">
        <v>1065</v>
      </c>
      <c r="L10" s="2451"/>
      <c r="M10" s="2451"/>
      <c r="N10" s="2451"/>
      <c r="O10" s="2451"/>
      <c r="P10" s="1235"/>
      <c r="Q10" s="1159"/>
      <c r="R10" s="1159"/>
      <c r="S10" s="1159"/>
      <c r="T10" s="1159"/>
      <c r="U10" s="1159"/>
      <c r="V10" s="1159"/>
      <c r="W10" s="1159"/>
      <c r="X10" s="1159"/>
      <c r="Y10" s="1159"/>
      <c r="Z10" s="1159"/>
      <c r="AA10" s="1159"/>
      <c r="AB10" s="1157">
        <v>24</v>
      </c>
    </row>
    <row customHeight="1" ht="25.5">
      <c r="E11" s="1159"/>
      <c r="F11" s="2449"/>
      <c r="G11" s="2453"/>
      <c r="H11" s="2452">
        <f>INDEX(IP_MAIN_LIST_NAME_IP,MATCH(H8,IP_MAIN_LIST_IP_ID,0))&amp;" ("&amp;INDEX(IP_MAIN_START_DATE,MATCH(H8,IP_MAIN_LIST_IP_ID,0))&amp;"-"&amp;INDEX(IP_MAIN_END_DATE,MATCH(H8,IP_MAIN_LIST_IP_ID,0))&amp;")"</f>
      </c>
      <c r="I11" s="2452"/>
      <c r="J11" s="2452"/>
      <c r="K11" s="2452" t="str">
        <f>INDEX(IP_MAIN_LIST_NAME_IP,MATCH(K8,IP_MAIN_LIST_IP_ID,0))&amp;" ("&amp;INDEX(IP_MAIN_START_DATE,MATCH(K8,IP_MAIN_LIST_IP_ID,0))&amp;"-"&amp;INDEX(IP_MAIN_END_DATE,MATCH(K8,IP_MAIN_LIST_IP_ID,0))&amp;")"</f>
        <v>Инвестиционная программа от 29.09.2025 МУП "НЕВЕЛЬСКИЕ КОММУНАЛЬНЫЕ СЕТИ" в сфере холодного водоснабжения по модернизации и реконструкции объектов, на территории муниципального округа Невельский на 2026-2028 годы (01.01.2026-31.12.2028)</v>
      </c>
      <c r="L11" s="2452"/>
      <c r="M11" s="2452"/>
      <c r="N11" s="2452"/>
      <c r="O11" s="2452"/>
      <c r="P11" s="1235"/>
      <c r="Q11" s="1159"/>
      <c r="R11" s="1159"/>
      <c r="S11" s="1159"/>
      <c r="T11" s="1159"/>
      <c r="U11" s="1159"/>
      <c r="V11" s="1159"/>
      <c r="W11" s="1159"/>
      <c r="X11" s="1159"/>
      <c r="Y11" s="1159"/>
      <c r="Z11" s="1159"/>
      <c r="AA11" s="1159"/>
      <c r="AB11" s="1157">
        <v>24</v>
      </c>
    </row>
    <row customHeight="1" ht="10.5">
      <c r="F12" s="2450"/>
      <c r="G12" s="2453"/>
      <c r="H12" s="1228" t="s">
        <v>1066</v>
      </c>
      <c r="I12" s="1234"/>
      <c r="J12" s="1228"/>
      <c r="K12" s="2453" t="s">
        <v>1066</v>
      </c>
      <c r="L12" s="1234">
        <v>2026</v>
      </c>
      <c r="M12" s="1234">
        <v>2027</v>
      </c>
      <c r="N12" s="1234">
        <v>2028</v>
      </c>
      <c r="O12" s="2453"/>
      <c r="P12" s="1236"/>
      <c r="AB12" s="1157">
        <v>10</v>
      </c>
    </row>
    <row customHeight="1" ht="10.5" hidden="1">
      <c r="F13" s="1228">
        <v>1</v>
      </c>
      <c r="G13" s="1228">
        <v>2</v>
      </c>
      <c r="H13" s="1228">
        <v>3</v>
      </c>
      <c r="I13" s="1228">
        <v>4</v>
      </c>
      <c r="J13" s="1228">
        <v>5</v>
      </c>
      <c r="K13" s="2453">
        <v>3</v>
      </c>
      <c r="L13" s="2453">
        <v>4</v>
      </c>
      <c r="M13" s="2453">
        <v>4</v>
      </c>
      <c r="N13" s="2453">
        <v>4</v>
      </c>
      <c r="O13" s="2453">
        <v>5</v>
      </c>
      <c r="P13" s="1236"/>
      <c r="AB13" s="1157">
        <v>0</v>
      </c>
    </row>
    <row customHeight="1" ht="11.549999999999999">
      <c r="F14" s="1227" t="s">
        <v>1067</v>
      </c>
      <c r="G14" s="2446" t="s">
        <v>1068</v>
      </c>
      <c r="H14" s="2446"/>
      <c r="I14" s="2446"/>
      <c r="J14" s="2446"/>
      <c r="K14" s="2446"/>
      <c r="L14" s="2446"/>
      <c r="M14" s="2446"/>
      <c r="N14" s="2446"/>
      <c r="O14" s="2446"/>
      <c r="P14" s="1236"/>
      <c r="AB14" s="1157">
        <v>11</v>
      </c>
    </row>
    <row customHeight="1" ht="11.549999999999999">
      <c r="F15" s="1232">
        <v>1</v>
      </c>
      <c r="G15" s="692" t="s">
        <v>1069</v>
      </c>
      <c r="H15" s="1238">
        <f>SUM(I15:J15)</f>
        <v>0</v>
      </c>
      <c r="I15" s="1238">
        <f>SUM(I16:I27)</f>
        <v>0</v>
      </c>
      <c r="J15" s="1227"/>
      <c r="K15" s="1238">
        <f>SUM(L15:O15)</f>
        <v>0</v>
      </c>
      <c r="L15" s="1238">
        <f>SUM(L16:L27)</f>
        <v>0</v>
      </c>
      <c r="M15" s="1238">
        <f>SUM(M16:M27)</f>
        <v>0</v>
      </c>
      <c r="N15" s="1238">
        <f>SUM(N16:N27)</f>
        <v>0</v>
      </c>
      <c r="O15" s="2451"/>
      <c r="P15" s="1236"/>
      <c r="AB15" s="1157">
        <v>11</v>
      </c>
    </row>
    <row customHeight="1" ht="24">
      <c r="F16" s="1232" t="s">
        <v>1070</v>
      </c>
      <c r="G16" s="1239" t="s">
        <v>1071</v>
      </c>
      <c r="H16" s="1238">
        <f>SUM(I16:J16)</f>
        <v>0</v>
      </c>
      <c r="I16" s="1237"/>
      <c r="J16" s="1227"/>
      <c r="K16" s="1238">
        <f>SUM(L16:O16)</f>
        <v>0</v>
      </c>
      <c r="L16" s="1237"/>
      <c r="M16" s="1237"/>
      <c r="N16" s="1237"/>
      <c r="O16" s="2451"/>
      <c r="P16" s="1236"/>
      <c r="AB16" s="1157">
        <v>23</v>
      </c>
    </row>
    <row customHeight="1" ht="24">
      <c r="F17" s="1232" t="s">
        <v>1072</v>
      </c>
      <c r="G17" s="1239" t="s">
        <v>1073</v>
      </c>
      <c r="H17" s="1238">
        <f>SUM(I17:J17)</f>
        <v>0</v>
      </c>
      <c r="I17" s="1237"/>
      <c r="J17" s="1227"/>
      <c r="K17" s="1238">
        <f>SUM(L17:O17)</f>
        <v>0</v>
      </c>
      <c r="L17" s="1237"/>
      <c r="M17" s="1237"/>
      <c r="N17" s="1237"/>
      <c r="O17" s="2451"/>
      <c r="P17" s="1236"/>
      <c r="AB17" s="1157">
        <v>23</v>
      </c>
    </row>
    <row customHeight="1" ht="35.699999999999996">
      <c r="F18" s="1232" t="s">
        <v>1074</v>
      </c>
      <c r="G18" s="1239" t="s">
        <v>1075</v>
      </c>
      <c r="H18" s="1238">
        <f>SUM(I18:J18)</f>
        <v>0</v>
      </c>
      <c r="I18" s="1237"/>
      <c r="J18" s="1227"/>
      <c r="K18" s="1238">
        <f>SUM(L18:O18)</f>
        <v>0</v>
      </c>
      <c r="L18" s="1237"/>
      <c r="M18" s="1237"/>
      <c r="N18" s="1237"/>
      <c r="O18" s="2451"/>
      <c r="P18" s="1236"/>
      <c r="AB18" s="1157">
        <v>34</v>
      </c>
    </row>
    <row customHeight="1" ht="35.699999999999996">
      <c r="F19" s="1232" t="s">
        <v>1076</v>
      </c>
      <c r="G19" s="1239" t="s">
        <v>1077</v>
      </c>
      <c r="H19" s="1238">
        <f>SUM(I19:J19)</f>
        <v>0</v>
      </c>
      <c r="I19" s="1237"/>
      <c r="J19" s="1227"/>
      <c r="K19" s="1238">
        <f>SUM(L19:O19)</f>
        <v>0</v>
      </c>
      <c r="L19" s="1237"/>
      <c r="M19" s="1237"/>
      <c r="N19" s="1237"/>
      <c r="O19" s="2451"/>
      <c r="P19" s="1236"/>
      <c r="AB19" s="1157">
        <v>34</v>
      </c>
    </row>
    <row customHeight="1" ht="48.29999999999999">
      <c r="F20" s="1232" t="s">
        <v>1078</v>
      </c>
      <c r="G20" s="1239" t="s">
        <v>1079</v>
      </c>
      <c r="H20" s="1238">
        <f>SUM(I20:J20)</f>
        <v>0</v>
      </c>
      <c r="I20" s="1237"/>
      <c r="J20" s="1227"/>
      <c r="K20" s="1238">
        <f>SUM(L20:O20)</f>
        <v>0</v>
      </c>
      <c r="L20" s="1237"/>
      <c r="M20" s="1237"/>
      <c r="N20" s="1237"/>
      <c r="O20" s="2451"/>
      <c r="P20" s="1236"/>
      <c r="AB20" s="1157">
        <v>46</v>
      </c>
    </row>
    <row customHeight="1" ht="35.699999999999996">
      <c r="F21" s="1232" t="s">
        <v>1080</v>
      </c>
      <c r="G21" s="1239" t="s">
        <v>1081</v>
      </c>
      <c r="H21" s="1238">
        <f>SUM(I21:J21)</f>
        <v>0</v>
      </c>
      <c r="I21" s="1237"/>
      <c r="J21" s="1227"/>
      <c r="K21" s="1238">
        <f>SUM(L21:O21)</f>
        <v>0</v>
      </c>
      <c r="L21" s="1237"/>
      <c r="M21" s="1237"/>
      <c r="N21" s="1237"/>
      <c r="O21" s="2451"/>
      <c r="P21" s="1236"/>
      <c r="AB21" s="1157">
        <v>34</v>
      </c>
    </row>
    <row customHeight="1" ht="35.699999999999996">
      <c r="F22" s="1232" t="s">
        <v>1082</v>
      </c>
      <c r="G22" s="1239" t="s">
        <v>1083</v>
      </c>
      <c r="H22" s="1238">
        <f>SUM(I22:J22)</f>
        <v>0</v>
      </c>
      <c r="I22" s="1237"/>
      <c r="J22" s="1227"/>
      <c r="K22" s="1238">
        <f>SUM(L22:O22)</f>
        <v>0</v>
      </c>
      <c r="L22" s="1237"/>
      <c r="M22" s="1237"/>
      <c r="N22" s="1237"/>
      <c r="O22" s="2451"/>
      <c r="P22" s="1236"/>
      <c r="AB22" s="1157">
        <v>34</v>
      </c>
    </row>
    <row customHeight="1" ht="24">
      <c r="F23" s="1232" t="s">
        <v>1084</v>
      </c>
      <c r="G23" s="1239" t="s">
        <v>1085</v>
      </c>
      <c r="H23" s="1238">
        <f>SUM(I23:J23)</f>
        <v>0</v>
      </c>
      <c r="I23" s="1237"/>
      <c r="J23" s="1227"/>
      <c r="K23" s="1238">
        <f>SUM(L23:O23)</f>
        <v>0</v>
      </c>
      <c r="L23" s="1237"/>
      <c r="M23" s="1237"/>
      <c r="N23" s="1237"/>
      <c r="O23" s="2451"/>
      <c r="P23" s="1236"/>
      <c r="AB23" s="1157">
        <v>23</v>
      </c>
    </row>
    <row customHeight="1" ht="24">
      <c r="F24" s="1232" t="s">
        <v>1086</v>
      </c>
      <c r="G24" s="1239" t="s">
        <v>1087</v>
      </c>
      <c r="H24" s="1238">
        <f>SUM(I24:J24)</f>
        <v>0</v>
      </c>
      <c r="I24" s="1237"/>
      <c r="J24" s="1227"/>
      <c r="K24" s="1238">
        <f>SUM(L24:O24)</f>
        <v>0</v>
      </c>
      <c r="L24" s="1237"/>
      <c r="M24" s="1237"/>
      <c r="N24" s="1237"/>
      <c r="O24" s="2451"/>
      <c r="P24" s="1236"/>
      <c r="AB24" s="1157">
        <v>23</v>
      </c>
    </row>
    <row customHeight="1" ht="35.699999999999996">
      <c r="F25" s="1232" t="s">
        <v>1088</v>
      </c>
      <c r="G25" s="1239" t="s">
        <v>1089</v>
      </c>
      <c r="H25" s="1238">
        <f>SUM(I25:J25)</f>
        <v>0</v>
      </c>
      <c r="I25" s="1237"/>
      <c r="J25" s="1227"/>
      <c r="K25" s="1238">
        <f>SUM(L25:O25)</f>
        <v>0</v>
      </c>
      <c r="L25" s="1237"/>
      <c r="M25" s="1237"/>
      <c r="N25" s="1237"/>
      <c r="O25" s="2451"/>
      <c r="P25" s="1236"/>
      <c r="AB25" s="1157">
        <v>34</v>
      </c>
    </row>
    <row customHeight="1" ht="35.699999999999996">
      <c r="F26" s="1232" t="s">
        <v>1090</v>
      </c>
      <c r="G26" s="1239" t="s">
        <v>1091</v>
      </c>
      <c r="H26" s="1238">
        <f>SUM(I26:J26)</f>
        <v>0</v>
      </c>
      <c r="I26" s="1237"/>
      <c r="J26" s="1227"/>
      <c r="K26" s="1238">
        <f>SUM(L26:O26)</f>
        <v>0</v>
      </c>
      <c r="L26" s="1237"/>
      <c r="M26" s="1237"/>
      <c r="N26" s="1237"/>
      <c r="O26" s="2451"/>
      <c r="P26" s="1236"/>
      <c r="AB26" s="1157">
        <v>34</v>
      </c>
    </row>
    <row customHeight="1" ht="11.549999999999999">
      <c r="F27" s="1232" t="s">
        <v>1092</v>
      </c>
      <c r="G27" s="1239" t="s">
        <v>1093</v>
      </c>
      <c r="H27" s="1238">
        <f>SUM(I27:J27)</f>
        <v>0</v>
      </c>
      <c r="I27" s="1237"/>
      <c r="J27" s="1227"/>
      <c r="K27" s="1238">
        <f>SUM(L27:O27)</f>
        <v>0</v>
      </c>
      <c r="L27" s="1237"/>
      <c r="M27" s="1237"/>
      <c r="N27" s="1237"/>
      <c r="O27" s="2451"/>
      <c r="P27" s="1236"/>
      <c r="AB27" s="1157">
        <v>11</v>
      </c>
    </row>
    <row customHeight="1" ht="11.549999999999999">
      <c r="F28" s="1232">
        <v>2</v>
      </c>
      <c r="G28" s="692" t="s">
        <v>1094</v>
      </c>
      <c r="H28" s="1238">
        <f>SUM(I28:J28)</f>
        <v>0</v>
      </c>
      <c r="I28" s="1238">
        <f>SUM(I29:I31)</f>
        <v>0</v>
      </c>
      <c r="J28" s="1227"/>
      <c r="K28" s="1238">
        <f>SUM(L28:O28)</f>
        <v>0</v>
      </c>
      <c r="L28" s="1238">
        <f>SUM(L29:L31)</f>
        <v>0</v>
      </c>
      <c r="M28" s="1238">
        <f>SUM(M29:M31)</f>
        <v>0</v>
      </c>
      <c r="N28" s="1238">
        <f>SUM(N29:N31)</f>
        <v>0</v>
      </c>
      <c r="O28" s="2451"/>
      <c r="P28" s="1236"/>
      <c r="AB28" s="1157">
        <v>11</v>
      </c>
    </row>
    <row customHeight="1" ht="11.549999999999999">
      <c r="F29" s="1232" t="s">
        <v>702</v>
      </c>
      <c r="G29" s="1239" t="s">
        <v>1095</v>
      </c>
      <c r="H29" s="1238">
        <f>SUM(I29:J29)</f>
        <v>0</v>
      </c>
      <c r="I29" s="1237"/>
      <c r="J29" s="1227"/>
      <c r="K29" s="1238">
        <f>SUM(L29:O29)</f>
        <v>0</v>
      </c>
      <c r="L29" s="1237"/>
      <c r="M29" s="1237"/>
      <c r="N29" s="1237"/>
      <c r="O29" s="2451"/>
      <c r="P29" s="1236"/>
      <c r="AB29" s="1157">
        <v>11</v>
      </c>
    </row>
    <row customHeight="1" ht="11.549999999999999">
      <c r="F30" s="1232" t="s">
        <v>302</v>
      </c>
      <c r="G30" s="1239" t="s">
        <v>1096</v>
      </c>
      <c r="H30" s="1238">
        <f>SUM(I30:J30)</f>
        <v>0</v>
      </c>
      <c r="I30" s="1237"/>
      <c r="J30" s="1227"/>
      <c r="K30" s="1238">
        <f>SUM(L30:O30)</f>
        <v>0</v>
      </c>
      <c r="L30" s="1237"/>
      <c r="M30" s="1237"/>
      <c r="N30" s="1237"/>
      <c r="O30" s="2451"/>
      <c r="P30" s="1236"/>
      <c r="AB30" s="1157">
        <v>11</v>
      </c>
    </row>
    <row customHeight="1" ht="11.549999999999999">
      <c r="F31" s="1232" t="s">
        <v>305</v>
      </c>
      <c r="G31" s="1239" t="s">
        <v>1097</v>
      </c>
      <c r="H31" s="1238">
        <f>SUM(I31:J31)</f>
        <v>0</v>
      </c>
      <c r="I31" s="1237"/>
      <c r="J31" s="1227"/>
      <c r="K31" s="1238">
        <f>SUM(L31:O31)</f>
        <v>0</v>
      </c>
      <c r="L31" s="1237"/>
      <c r="M31" s="1237"/>
      <c r="N31" s="1237"/>
      <c r="O31" s="2451"/>
      <c r="P31" s="1236"/>
      <c r="AB31" s="1157">
        <v>11</v>
      </c>
    </row>
    <row customHeight="1" ht="11.549999999999999">
      <c r="F32" s="1232">
        <v>3</v>
      </c>
      <c r="G32" s="692" t="s">
        <v>1098</v>
      </c>
      <c r="H32" s="1238">
        <f>SUM(I32:J32)</f>
        <v>0</v>
      </c>
      <c r="I32" s="1238">
        <f>SUM(I33:I34)</f>
        <v>0</v>
      </c>
      <c r="J32" s="1227"/>
      <c r="K32" s="1238">
        <f>SUM(L32:O32)</f>
        <v>0</v>
      </c>
      <c r="L32" s="1238">
        <f>SUM(L33:L34)</f>
        <v>0</v>
      </c>
      <c r="M32" s="1238">
        <f>SUM(M33:M34)</f>
        <v>0</v>
      </c>
      <c r="N32" s="1238">
        <f>SUM(N33:N34)</f>
        <v>0</v>
      </c>
      <c r="O32" s="2451"/>
      <c r="P32" s="1236"/>
      <c r="AB32" s="1157">
        <v>11</v>
      </c>
    </row>
    <row customHeight="1" ht="48.29999999999999">
      <c r="F33" s="1232" t="s">
        <v>319</v>
      </c>
      <c r="G33" s="1239" t="s">
        <v>1099</v>
      </c>
      <c r="H33" s="1238">
        <f>SUM(I33:J33)</f>
        <v>0</v>
      </c>
      <c r="I33" s="1237"/>
      <c r="J33" s="1227"/>
      <c r="K33" s="1238">
        <f>SUM(L33:O33)</f>
        <v>0</v>
      </c>
      <c r="L33" s="1237"/>
      <c r="M33" s="1237"/>
      <c r="N33" s="1237"/>
      <c r="O33" s="2451"/>
      <c r="P33" s="1236"/>
      <c r="AB33" s="1157">
        <v>46</v>
      </c>
    </row>
    <row customHeight="1" ht="11.549999999999999">
      <c r="F34" s="1232" t="s">
        <v>327</v>
      </c>
      <c r="G34" s="1239" t="s">
        <v>1100</v>
      </c>
      <c r="H34" s="1238">
        <f>SUM(I34:J34)</f>
        <v>0</v>
      </c>
      <c r="I34" s="1237"/>
      <c r="J34" s="1227"/>
      <c r="K34" s="1238">
        <f>SUM(L34:O34)</f>
        <v>0</v>
      </c>
      <c r="L34" s="1237"/>
      <c r="M34" s="1237"/>
      <c r="N34" s="1237"/>
      <c r="O34" s="2451"/>
      <c r="P34" s="1236"/>
      <c r="AB34" s="1157">
        <v>11</v>
      </c>
    </row>
    <row customHeight="1" ht="11.549999999999999">
      <c r="F35" s="1232">
        <v>4</v>
      </c>
      <c r="G35" s="692" t="s">
        <v>1101</v>
      </c>
      <c r="H35" s="1238">
        <f>SUM(I35:J35)</f>
        <v>0</v>
      </c>
      <c r="I35" s="1237"/>
      <c r="J35" s="1227"/>
      <c r="K35" s="1238">
        <f>SUM(L35:O35)</f>
        <v>0</v>
      </c>
      <c r="L35" s="1237"/>
      <c r="M35" s="1237"/>
      <c r="N35" s="1237"/>
      <c r="O35" s="2451"/>
      <c r="P35" s="1236"/>
      <c r="AB35" s="1157">
        <v>11</v>
      </c>
    </row>
    <row customHeight="1" ht="11.549999999999999">
      <c r="F36" s="1232"/>
      <c r="G36" s="695" t="s">
        <v>1102</v>
      </c>
      <c r="H36" s="1238">
        <f>SUM(I36:J36)</f>
        <v>0</v>
      </c>
      <c r="I36" s="1238">
        <f>SUM(I15,I28,I32,I35)</f>
        <v>0</v>
      </c>
      <c r="J36" s="1227"/>
      <c r="K36" s="1238">
        <f>SUM(L36:O36)</f>
        <v>0</v>
      </c>
      <c r="L36" s="1238">
        <f>SUM(L15,L28,L32,L35)</f>
        <v>0</v>
      </c>
      <c r="M36" s="1238">
        <f>SUM(M15,M28,M32,M35)</f>
        <v>0</v>
      </c>
      <c r="N36" s="1238">
        <f>SUM(N15,N28,N32,N35)</f>
        <v>0</v>
      </c>
      <c r="O36" s="2451"/>
      <c r="P36" s="1236"/>
      <c r="AB36" s="1157">
        <v>11</v>
      </c>
    </row>
    <row customHeight="1" ht="29.25">
      <c r="F37" s="1233" t="s">
        <v>1103</v>
      </c>
      <c r="G37" s="2447" t="s">
        <v>1104</v>
      </c>
      <c r="H37" s="2447"/>
      <c r="I37" s="2447"/>
      <c r="J37" s="2447"/>
      <c r="K37" s="2447"/>
      <c r="L37" s="2447"/>
      <c r="M37" s="2447"/>
      <c r="N37" s="2447"/>
      <c r="O37" s="2447"/>
      <c r="P37" s="1236"/>
      <c r="AB37" s="1157">
        <v>28</v>
      </c>
    </row>
    <row customHeight="1" ht="24">
      <c r="F38" s="1232" t="s">
        <v>106</v>
      </c>
      <c r="G38" s="692" t="s">
        <v>1105</v>
      </c>
      <c r="H38" s="1238">
        <f>SUM(I38:J38)</f>
        <v>0</v>
      </c>
      <c r="I38" s="1238">
        <f>SUM(I39,I44,I47)</f>
        <v>0</v>
      </c>
      <c r="J38" s="1227"/>
      <c r="K38" s="1238">
        <f>SUM(L38:O38)</f>
        <v>0</v>
      </c>
      <c r="L38" s="1238">
        <f>SUM(L39,L44,L47)</f>
        <v>0</v>
      </c>
      <c r="M38" s="1238">
        <f>SUM(M39,M44,M47)</f>
        <v>0</v>
      </c>
      <c r="N38" s="1238">
        <f>SUM(N39,N44,N47)</f>
        <v>0</v>
      </c>
      <c r="O38" s="2451"/>
      <c r="P38" s="1236"/>
      <c r="AB38" s="1157">
        <v>23</v>
      </c>
    </row>
    <row customHeight="1" ht="11.549999999999999">
      <c r="F39" s="1232" t="s">
        <v>1070</v>
      </c>
      <c r="G39" s="1239" t="s">
        <v>1069</v>
      </c>
      <c r="H39" s="1238">
        <f>SUM(I39:J39)</f>
        <v>0</v>
      </c>
      <c r="I39" s="1238">
        <f>SUM(I40:I43)</f>
        <v>0</v>
      </c>
      <c r="J39" s="1227"/>
      <c r="K39" s="1238">
        <f>SUM(L39:O39)</f>
        <v>0</v>
      </c>
      <c r="L39" s="1238">
        <f>SUM(L40:L43)</f>
        <v>0</v>
      </c>
      <c r="M39" s="1238">
        <f>SUM(M40:M43)</f>
        <v>0</v>
      </c>
      <c r="N39" s="1238">
        <f>SUM(N40:N43)</f>
        <v>0</v>
      </c>
      <c r="O39" s="2451"/>
      <c r="P39" s="1236"/>
      <c r="AB39" s="1157">
        <v>11</v>
      </c>
    </row>
    <row customHeight="1" ht="24">
      <c r="F40" s="1232" t="s">
        <v>1106</v>
      </c>
      <c r="G40" s="1240" t="s">
        <v>1107</v>
      </c>
      <c r="H40" s="1238">
        <f>SUM(I40:J40)</f>
        <v>0</v>
      </c>
      <c r="I40" s="1237"/>
      <c r="J40" s="1227"/>
      <c r="K40" s="1238">
        <f>SUM(L40:O40)</f>
        <v>0</v>
      </c>
      <c r="L40" s="1237"/>
      <c r="M40" s="1237"/>
      <c r="N40" s="1237"/>
      <c r="O40" s="2451"/>
      <c r="P40" s="1236"/>
      <c r="AB40" s="1157">
        <v>23</v>
      </c>
    </row>
    <row customHeight="1" ht="11.549999999999999">
      <c r="F41" s="1232" t="s">
        <v>1108</v>
      </c>
      <c r="G41" s="1240" t="s">
        <v>1109</v>
      </c>
      <c r="H41" s="1238">
        <f>SUM(I41:J41)</f>
        <v>0</v>
      </c>
      <c r="I41" s="1237"/>
      <c r="J41" s="1227"/>
      <c r="K41" s="1238">
        <f>SUM(L41:O41)</f>
        <v>0</v>
      </c>
      <c r="L41" s="1237"/>
      <c r="M41" s="1237"/>
      <c r="N41" s="1237"/>
      <c r="O41" s="2451"/>
      <c r="P41" s="1236"/>
      <c r="AB41" s="1157">
        <v>11</v>
      </c>
    </row>
    <row customHeight="1" ht="11.549999999999999">
      <c r="F42" s="1232" t="s">
        <v>1110</v>
      </c>
      <c r="G42" s="1240" t="s">
        <v>1111</v>
      </c>
      <c r="H42" s="1238">
        <f>SUM(I42:J42)</f>
        <v>0</v>
      </c>
      <c r="I42" s="1237"/>
      <c r="J42" s="1227"/>
      <c r="K42" s="1238">
        <f>SUM(L42:O42)</f>
        <v>0</v>
      </c>
      <c r="L42" s="1237"/>
      <c r="M42" s="1237"/>
      <c r="N42" s="1237"/>
      <c r="O42" s="2451"/>
      <c r="P42" s="1236"/>
      <c r="AB42" s="1157">
        <v>11</v>
      </c>
    </row>
    <row customHeight="1" ht="35.699999999999996">
      <c r="F43" s="1232" t="s">
        <v>1112</v>
      </c>
      <c r="G43" s="1240" t="s">
        <v>1113</v>
      </c>
      <c r="H43" s="1238">
        <f>SUM(I43:J43)</f>
        <v>0</v>
      </c>
      <c r="I43" s="1237"/>
      <c r="J43" s="1227"/>
      <c r="K43" s="1238">
        <f>SUM(L43:O43)</f>
        <v>0</v>
      </c>
      <c r="L43" s="1237"/>
      <c r="M43" s="1237"/>
      <c r="N43" s="1237"/>
      <c r="O43" s="2451"/>
      <c r="P43" s="1236"/>
      <c r="AB43" s="1157">
        <v>34</v>
      </c>
    </row>
    <row customHeight="1" ht="11.549999999999999">
      <c r="F44" s="1232" t="s">
        <v>1072</v>
      </c>
      <c r="G44" s="1239" t="s">
        <v>1098</v>
      </c>
      <c r="H44" s="1238">
        <f>SUM(I44:J44)</f>
        <v>0</v>
      </c>
      <c r="I44" s="1238">
        <f>SUM(I45:I46)</f>
        <v>0</v>
      </c>
      <c r="J44" s="1227"/>
      <c r="K44" s="1238">
        <f>SUM(L44:O44)</f>
        <v>0</v>
      </c>
      <c r="L44" s="1238">
        <f>SUM(L45:L46)</f>
        <v>0</v>
      </c>
      <c r="M44" s="1238">
        <f>SUM(M45:M46)</f>
        <v>0</v>
      </c>
      <c r="N44" s="1238">
        <f>SUM(N45:N46)</f>
        <v>0</v>
      </c>
      <c r="O44" s="2451"/>
      <c r="P44" s="1236"/>
      <c r="AB44" s="1157">
        <v>11</v>
      </c>
    </row>
    <row customHeight="1" ht="48.29999999999999">
      <c r="F45" s="1232" t="s">
        <v>1114</v>
      </c>
      <c r="G45" s="1240" t="s">
        <v>1099</v>
      </c>
      <c r="H45" s="1238">
        <f>SUM(I45:J45)</f>
        <v>0</v>
      </c>
      <c r="I45" s="1237"/>
      <c r="J45" s="1227"/>
      <c r="K45" s="1238">
        <f>SUM(L45:O45)</f>
        <v>0</v>
      </c>
      <c r="L45" s="1237"/>
      <c r="M45" s="1237"/>
      <c r="N45" s="1237"/>
      <c r="O45" s="2451"/>
      <c r="P45" s="1236"/>
      <c r="AB45" s="1157">
        <v>46</v>
      </c>
    </row>
    <row customHeight="1" ht="11.549999999999999">
      <c r="F46" s="1232" t="s">
        <v>1115</v>
      </c>
      <c r="G46" s="1240" t="s">
        <v>1100</v>
      </c>
      <c r="H46" s="1238">
        <f>SUM(I46:J46)</f>
        <v>0</v>
      </c>
      <c r="I46" s="1237"/>
      <c r="J46" s="1227"/>
      <c r="K46" s="1238">
        <f>SUM(L46:O46)</f>
        <v>0</v>
      </c>
      <c r="L46" s="1237"/>
      <c r="M46" s="1237"/>
      <c r="N46" s="1237"/>
      <c r="O46" s="2451"/>
      <c r="P46" s="1236"/>
      <c r="AB46" s="1157">
        <v>11</v>
      </c>
    </row>
    <row customHeight="1" ht="11.549999999999999">
      <c r="F47" s="1232" t="s">
        <v>1074</v>
      </c>
      <c r="G47" s="1239" t="s">
        <v>1116</v>
      </c>
      <c r="H47" s="1238">
        <f>SUM(I47:J47)</f>
        <v>0</v>
      </c>
      <c r="I47" s="1237"/>
      <c r="J47" s="1227"/>
      <c r="K47" s="1238">
        <f>SUM(L47:O47)</f>
        <v>0</v>
      </c>
      <c r="L47" s="1237"/>
      <c r="M47" s="1237"/>
      <c r="N47" s="1237"/>
      <c r="O47" s="2451"/>
      <c r="P47" s="1236"/>
      <c r="AB47" s="1157">
        <v>11</v>
      </c>
    </row>
    <row customHeight="1" ht="24">
      <c r="F48" s="1232" t="s">
        <v>107</v>
      </c>
      <c r="G48" s="692" t="s">
        <v>1117</v>
      </c>
      <c r="H48" s="1238">
        <f>SUM(I48:J48)</f>
        <v>0</v>
      </c>
      <c r="I48" s="1238">
        <f>SUM(I49,I54,I57)</f>
        <v>0</v>
      </c>
      <c r="J48" s="1227"/>
      <c r="K48" s="1238">
        <f>SUM(L48:O48)</f>
        <v>0</v>
      </c>
      <c r="L48" s="1238">
        <f>SUM(L49,L54,L57)</f>
        <v>0</v>
      </c>
      <c r="M48" s="1238">
        <f>SUM(M49,M54,M57)</f>
        <v>0</v>
      </c>
      <c r="N48" s="1238">
        <f>SUM(N49,N54,N57)</f>
        <v>0</v>
      </c>
      <c r="O48" s="2451"/>
      <c r="P48" s="1236"/>
      <c r="AB48" s="1157">
        <v>23</v>
      </c>
    </row>
    <row customHeight="1" ht="11.549999999999999">
      <c r="F49" s="1232" t="s">
        <v>702</v>
      </c>
      <c r="G49" s="1239" t="s">
        <v>1069</v>
      </c>
      <c r="H49" s="1238">
        <f>SUM(I49:J49)</f>
        <v>0</v>
      </c>
      <c r="I49" s="1238">
        <f>SUM(I50:I53)</f>
        <v>0</v>
      </c>
      <c r="J49" s="1227"/>
      <c r="K49" s="1238">
        <f>SUM(L49:O49)</f>
        <v>0</v>
      </c>
      <c r="L49" s="1238">
        <f>SUM(L50:L53)</f>
        <v>0</v>
      </c>
      <c r="M49" s="1238">
        <f>SUM(M50:M53)</f>
        <v>0</v>
      </c>
      <c r="N49" s="1238">
        <f>SUM(N50:N53)</f>
        <v>0</v>
      </c>
      <c r="O49" s="2451"/>
      <c r="P49" s="1236"/>
      <c r="AB49" s="1157">
        <v>11</v>
      </c>
    </row>
    <row customHeight="1" ht="24">
      <c r="F50" s="1232" t="s">
        <v>705</v>
      </c>
      <c r="G50" s="1240" t="s">
        <v>1107</v>
      </c>
      <c r="H50" s="1238">
        <f>SUM(I50:J50)</f>
        <v>0</v>
      </c>
      <c r="I50" s="1237"/>
      <c r="J50" s="1227"/>
      <c r="K50" s="1238">
        <f>SUM(L50:O50)</f>
        <v>0</v>
      </c>
      <c r="L50" s="1237"/>
      <c r="M50" s="1237"/>
      <c r="N50" s="1237"/>
      <c r="O50" s="2451"/>
      <c r="P50" s="1236"/>
      <c r="AB50" s="1157">
        <v>23</v>
      </c>
    </row>
    <row customHeight="1" ht="11.549999999999999">
      <c r="F51" s="1232" t="s">
        <v>708</v>
      </c>
      <c r="G51" s="1240" t="s">
        <v>1109</v>
      </c>
      <c r="H51" s="1238">
        <f>SUM(I51:J51)</f>
        <v>0</v>
      </c>
      <c r="I51" s="1237"/>
      <c r="J51" s="1227"/>
      <c r="K51" s="1238">
        <f>SUM(L51:O51)</f>
        <v>0</v>
      </c>
      <c r="L51" s="1237"/>
      <c r="M51" s="1237"/>
      <c r="N51" s="1237"/>
      <c r="O51" s="2451"/>
      <c r="P51" s="1236"/>
      <c r="AB51" s="1157">
        <v>11</v>
      </c>
    </row>
    <row customHeight="1" ht="11.549999999999999">
      <c r="F52" s="1232" t="s">
        <v>1118</v>
      </c>
      <c r="G52" s="1240" t="s">
        <v>1111</v>
      </c>
      <c r="H52" s="1238">
        <f>SUM(I52:J52)</f>
        <v>0</v>
      </c>
      <c r="I52" s="1237"/>
      <c r="J52" s="1227"/>
      <c r="K52" s="1238">
        <f>SUM(L52:O52)</f>
        <v>0</v>
      </c>
      <c r="L52" s="1237"/>
      <c r="M52" s="1237"/>
      <c r="N52" s="1237"/>
      <c r="O52" s="2451"/>
      <c r="P52" s="1236"/>
      <c r="AB52" s="1157">
        <v>11</v>
      </c>
    </row>
    <row customHeight="1" ht="35.699999999999996">
      <c r="F53" s="1232" t="s">
        <v>1119</v>
      </c>
      <c r="G53" s="1240" t="s">
        <v>1113</v>
      </c>
      <c r="H53" s="1238">
        <f>SUM(I53:J53)</f>
        <v>0</v>
      </c>
      <c r="I53" s="1237"/>
      <c r="J53" s="1227"/>
      <c r="K53" s="1238">
        <f>SUM(L53:O53)</f>
        <v>0</v>
      </c>
      <c r="L53" s="1237"/>
      <c r="M53" s="1237"/>
      <c r="N53" s="1237"/>
      <c r="O53" s="2451"/>
      <c r="P53" s="1236"/>
      <c r="AB53" s="1157">
        <v>34</v>
      </c>
    </row>
    <row customHeight="1" ht="11.549999999999999">
      <c r="F54" s="1232" t="s">
        <v>302</v>
      </c>
      <c r="G54" s="1239" t="s">
        <v>1098</v>
      </c>
      <c r="H54" s="1238">
        <f>SUM(I54:J54)</f>
        <v>0</v>
      </c>
      <c r="I54" s="1238">
        <f>SUM(I55:I56)</f>
        <v>0</v>
      </c>
      <c r="J54" s="1227"/>
      <c r="K54" s="1238">
        <f>SUM(L54:O54)</f>
        <v>0</v>
      </c>
      <c r="L54" s="1238">
        <f>SUM(L55:L56)</f>
        <v>0</v>
      </c>
      <c r="M54" s="1238">
        <f>SUM(M55:M56)</f>
        <v>0</v>
      </c>
      <c r="N54" s="1238">
        <f>SUM(N55:N56)</f>
        <v>0</v>
      </c>
      <c r="O54" s="2451"/>
      <c r="P54" s="1236"/>
      <c r="AB54" s="1157">
        <v>11</v>
      </c>
    </row>
    <row customHeight="1" ht="48.29999999999999">
      <c r="F55" s="1232" t="s">
        <v>712</v>
      </c>
      <c r="G55" s="1240" t="s">
        <v>1099</v>
      </c>
      <c r="H55" s="1238">
        <f>SUM(I55:J55)</f>
        <v>0</v>
      </c>
      <c r="I55" s="1237"/>
      <c r="J55" s="1227"/>
      <c r="K55" s="1238">
        <f>SUM(L55:O55)</f>
        <v>0</v>
      </c>
      <c r="L55" s="1237"/>
      <c r="M55" s="1237"/>
      <c r="N55" s="1237"/>
      <c r="O55" s="2451"/>
      <c r="P55" s="1236"/>
      <c r="AB55" s="1157">
        <v>46</v>
      </c>
    </row>
    <row customHeight="1" ht="11.549999999999999">
      <c r="F56" s="1232" t="s">
        <v>714</v>
      </c>
      <c r="G56" s="1240" t="s">
        <v>1100</v>
      </c>
      <c r="H56" s="1238">
        <f>SUM(I56:J56)</f>
        <v>0</v>
      </c>
      <c r="I56" s="1237"/>
      <c r="J56" s="1227"/>
      <c r="K56" s="1238">
        <f>SUM(L56:O56)</f>
        <v>0</v>
      </c>
      <c r="L56" s="1237"/>
      <c r="M56" s="1237"/>
      <c r="N56" s="1237"/>
      <c r="O56" s="2451"/>
      <c r="P56" s="1236"/>
      <c r="AB56" s="1157">
        <v>11</v>
      </c>
    </row>
    <row customHeight="1" ht="11.549999999999999">
      <c r="F57" s="1232" t="s">
        <v>305</v>
      </c>
      <c r="G57" s="1239" t="s">
        <v>1116</v>
      </c>
      <c r="H57" s="1238">
        <f>SUM(I57:J57)</f>
        <v>0</v>
      </c>
      <c r="I57" s="1237"/>
      <c r="J57" s="1227"/>
      <c r="K57" s="1238">
        <f>SUM(L57:O57)</f>
        <v>0</v>
      </c>
      <c r="L57" s="1237"/>
      <c r="M57" s="1237"/>
      <c r="N57" s="1237"/>
      <c r="O57" s="2451"/>
      <c r="P57" s="1236"/>
      <c r="AB57" s="1157">
        <v>11</v>
      </c>
    </row>
    <row customHeight="1" ht="11.549999999999999">
      <c r="F58" s="1232"/>
      <c r="G58" s="1241" t="s">
        <v>1102</v>
      </c>
      <c r="H58" s="1238">
        <f>SUM(I58:J58)</f>
        <v>0</v>
      </c>
      <c r="I58" s="1238">
        <f>SUM(I38,I48)</f>
        <v>0</v>
      </c>
      <c r="J58" s="1227"/>
      <c r="K58" s="1238">
        <f>SUM(L58:O58)</f>
        <v>0</v>
      </c>
      <c r="L58" s="1238">
        <f>SUM(L38,L48)</f>
        <v>0</v>
      </c>
      <c r="M58" s="1238">
        <f>SUM(M38,M48)</f>
        <v>0</v>
      </c>
      <c r="N58" s="1238">
        <f>SUM(N38,N48)</f>
        <v>0</v>
      </c>
      <c r="O58" s="2451"/>
      <c r="P58" s="1236"/>
      <c r="AB58" s="1157">
        <v>11</v>
      </c>
    </row>
    <row customHeight="1" ht="10.5" hidden="1">
      <c r="A59" s="1168" t="s">
        <v>82</v>
      </c>
      <c r="B59" s="1168">
        <v>0</v>
      </c>
      <c r="C59" s="1168">
        <v>0</v>
      </c>
      <c r="D59" s="1162">
        <v>0</v>
      </c>
      <c r="E59" s="511">
        <v>3</v>
      </c>
      <c r="F59" s="1157">
        <v>6</v>
      </c>
      <c r="G59" s="1157">
        <v>60</v>
      </c>
      <c r="H59" s="1157">
        <v>0</v>
      </c>
      <c r="I59" s="1157">
        <v>0</v>
      </c>
      <c r="J59" s="1157">
        <v>0</v>
      </c>
      <c r="K59" s="1637">
        <v>0</v>
      </c>
      <c r="L59" s="1637">
        <v>0</v>
      </c>
      <c r="M59" s="1637">
        <v>0</v>
      </c>
      <c r="N59" s="1637">
        <v>0</v>
      </c>
      <c r="O59" s="1637">
        <v>0</v>
      </c>
      <c r="P59" s="1157">
        <v>1</v>
      </c>
      <c r="Q59" s="1157">
        <v>8</v>
      </c>
      <c r="R59" s="1157">
        <v>8</v>
      </c>
      <c r="S59" s="1157">
        <v>8</v>
      </c>
      <c r="T59" s="1157">
        <v>8</v>
      </c>
      <c r="U59" s="1157">
        <v>8</v>
      </c>
      <c r="V59" s="1157">
        <v>8</v>
      </c>
      <c r="W59" s="1157">
        <v>8</v>
      </c>
      <c r="X59" s="1157">
        <v>8</v>
      </c>
      <c r="Y59" s="1157">
        <v>8</v>
      </c>
      <c r="Z59" s="1157">
        <v>8</v>
      </c>
      <c r="AA59" s="1157">
        <v>8</v>
      </c>
      <c r="AB59" s="1157">
        <v>10</v>
      </c>
    </row>
  </sheetData>
  <sheetProtection formatColumns="0" formatRows="0" autoFilter="0" sort="0" insertRows="0" insertColumns="1" deleteRows="0" deleteColumns="0"/>
  <mergeCells count="11">
    <mergeCell ref="F5:J5"/>
    <mergeCell ref="F6:J6"/>
    <mergeCell ref="F9:J9"/>
    <mergeCell ref="G14:J14"/>
    <mergeCell ref="G37:J37"/>
    <mergeCell ref="F10:F12"/>
    <mergeCell ref="H10:J10"/>
    <mergeCell ref="H11:J11"/>
    <mergeCell ref="G10:G12"/>
    <mergeCell ref="K10:O10"/>
    <mergeCell ref="K11:O11"/>
  </mergeCells>
  <dataValidations count="1">
    <dataValidation type="decimal" allowBlank="1" showErrorMessage="1" errorTitle="Ошибка" error="Допускается ввод только неотрицательных чисел!" sqref="I29:I31 I33:I35 I40:I43 I45:I47 I50:I53 I55:I57 I16:I27 L16:N16 L17:N17 L18:N18 L19:N19 L20:N20 L21:N21 L22:N22 L23:N23 L24:N24 L25:N25 L26:N26 L27:N27 L29:N29 L30:N30 L31:N31 L33:N33 L34:N34 L35:N35 L40:N40 L41:N41 L42:N42 L43:N43 L45:N45 L46:N46 L47:N47 L50:N50 L51:N51 L52:N52 L53:N53 L55:N55 L56:N56 L57:N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3D608-4818-F818-5628-AC8AE26C9D28}" mc:Ignorable="x14ac xr xr2 xr3">
  <sheetPr>
    <tabColor theme="9" tint="-0.25"/>
  </sheetPr>
  <dimension ref="A1:GC28"/>
  <sheetViews>
    <sheetView showGridLines="0" zoomScale="90" workbookViewId="0">
      <pane xSplit="14" ySplit="17" topLeftCell="CC21" activePane="bottomRight" state="frozen"/>
      <selection pane="bottomLeft" activeCell="A18" sqref="A18"/>
      <selection pane="topRight" activeCell="O1" sqref="O1"/>
      <selection pane="bottomRight" activeCell="CK22" sqref="CK22"/>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2" customFormat="1" customHeight="1" ht="27.299999999999997">
      <c r="B5" s="1871"/>
      <c r="E5" s="1873"/>
      <c r="F5" s="247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84"/>
      <c r="H5" s="2184"/>
      <c r="I5" s="2184"/>
      <c r="J5" s="2184"/>
      <c r="K5" s="2184"/>
      <c r="L5" s="2184"/>
      <c r="M5" s="2184"/>
      <c r="N5" s="2184"/>
      <c r="O5" s="2184"/>
      <c r="P5" s="2184"/>
      <c r="Q5" s="2184"/>
      <c r="R5" s="2184"/>
      <c r="S5" s="2184"/>
      <c r="T5" s="2184"/>
      <c r="U5" s="2184"/>
      <c r="V5" s="2184"/>
      <c r="W5" s="2184"/>
      <c r="X5" s="2184"/>
      <c r="Y5" s="2184"/>
      <c r="Z5" s="2184"/>
      <c r="AA5" s="2184"/>
      <c r="AB5" s="2184"/>
      <c r="AC5" s="2184"/>
      <c r="AD5" s="2184"/>
      <c r="AE5" s="2184"/>
      <c r="AF5" s="2184"/>
      <c r="AG5" s="2184"/>
      <c r="AH5" s="2184"/>
      <c r="AI5" s="2184"/>
      <c r="AJ5" s="2184"/>
      <c r="AK5" s="2184"/>
      <c r="AL5" s="2184"/>
      <c r="AM5" s="2184"/>
      <c r="AN5" s="2184"/>
      <c r="AO5" s="2184"/>
      <c r="AP5" s="2184"/>
      <c r="AQ5" s="2184"/>
      <c r="AR5" s="2184"/>
      <c r="AS5" s="2184"/>
      <c r="AT5" s="2184"/>
      <c r="AU5" s="2184"/>
      <c r="AV5" s="2184"/>
      <c r="AW5" s="2184"/>
      <c r="AX5" s="2184"/>
      <c r="AY5" s="2184"/>
      <c r="AZ5" s="2184"/>
      <c r="BA5" s="2184"/>
      <c r="BB5" s="2184"/>
      <c r="BC5" s="2184"/>
      <c r="BD5" s="2184"/>
      <c r="BE5" s="2184"/>
      <c r="BF5" s="2184"/>
      <c r="BG5" s="2184"/>
      <c r="BH5" s="2184"/>
      <c r="BI5" s="2184"/>
      <c r="BJ5" s="2184"/>
      <c r="BK5" s="2184"/>
      <c r="BL5" s="2184"/>
      <c r="BM5" s="2184"/>
      <c r="BN5" s="2184"/>
      <c r="BO5" s="2184"/>
      <c r="BP5" s="2184"/>
      <c r="BQ5" s="2184"/>
      <c r="BR5" s="2184"/>
      <c r="BS5" s="2184"/>
      <c r="GC5" s="1872">
        <v>26</v>
      </c>
    </row>
    <row s="2161" customFormat="1" customHeight="1" ht="18.75">
      <c r="B6" s="945"/>
      <c r="E6" s="947"/>
      <c r="F6" s="2249" t="str">
        <f>IF(org=0,"Не определено",org)</f>
        <v>Муниципальное унитарное предприятие "Невельские коммунальные сети"</v>
      </c>
      <c r="G6" s="2250"/>
      <c r="H6" s="2250"/>
      <c r="I6" s="2250"/>
      <c r="J6" s="2250"/>
      <c r="K6" s="2250"/>
      <c r="L6" s="2250"/>
      <c r="M6" s="2250"/>
      <c r="N6" s="2250"/>
      <c r="O6" s="2250"/>
      <c r="P6" s="2250"/>
      <c r="Q6" s="2250"/>
      <c r="R6" s="2250"/>
      <c r="S6" s="2250"/>
      <c r="T6" s="2250"/>
      <c r="U6" s="2250"/>
      <c r="V6" s="2250"/>
      <c r="W6" s="2250"/>
      <c r="X6" s="2250"/>
      <c r="Y6" s="2250"/>
      <c r="Z6" s="2250"/>
      <c r="AA6" s="2250"/>
      <c r="AB6" s="2250"/>
      <c r="AC6" s="2250"/>
      <c r="AD6" s="2250"/>
      <c r="AE6" s="2250"/>
      <c r="AF6" s="2250"/>
      <c r="AG6" s="2250"/>
      <c r="AH6" s="2250"/>
      <c r="AI6" s="2250"/>
      <c r="AJ6" s="2250"/>
      <c r="AK6" s="2250"/>
      <c r="AL6" s="2250"/>
      <c r="AM6" s="2250"/>
      <c r="AN6" s="2250"/>
      <c r="AO6" s="2250"/>
      <c r="AP6" s="2250"/>
      <c r="AQ6" s="2250"/>
      <c r="AR6" s="2250"/>
      <c r="AS6" s="2250"/>
      <c r="AT6" s="2250"/>
      <c r="AU6" s="2250"/>
      <c r="AV6" s="2250"/>
      <c r="AW6" s="2250"/>
      <c r="AX6" s="2250"/>
      <c r="AY6" s="2250"/>
      <c r="AZ6" s="2250"/>
      <c r="BA6" s="2250"/>
      <c r="BB6" s="2250"/>
      <c r="BC6" s="2250"/>
      <c r="BD6" s="2250"/>
      <c r="BE6" s="2250"/>
      <c r="BF6" s="2250"/>
      <c r="BG6" s="2250"/>
      <c r="BH6" s="2250"/>
      <c r="BI6" s="2250"/>
      <c r="BJ6" s="2250"/>
      <c r="BK6" s="2250"/>
      <c r="BL6" s="2250"/>
      <c r="BM6" s="2250"/>
      <c r="BN6" s="2250"/>
      <c r="BO6" s="2250"/>
      <c r="BP6" s="2250"/>
      <c r="BQ6" s="2250"/>
      <c r="BR6" s="2250"/>
      <c r="BS6" s="2250"/>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64" t="s">
        <v>1120</v>
      </c>
      <c r="P8" s="2465"/>
      <c r="Q8" s="2465"/>
      <c r="R8" s="2465"/>
      <c r="S8" s="2465"/>
      <c r="T8" s="2465"/>
      <c r="U8" s="2465"/>
      <c r="V8" s="2465"/>
      <c r="W8" s="2465"/>
      <c r="X8" s="2465"/>
      <c r="Y8" s="2465"/>
      <c r="Z8" s="2465"/>
      <c r="AA8" s="2465"/>
      <c r="AB8" s="2465"/>
      <c r="AC8" s="2465"/>
      <c r="AD8" s="2465"/>
      <c r="AE8" s="2465"/>
      <c r="AF8" s="2465"/>
      <c r="AG8" s="2465"/>
      <c r="AH8" s="2465"/>
      <c r="AI8" s="2465"/>
      <c r="AJ8" s="2465"/>
      <c r="AK8" s="2465"/>
      <c r="AL8" s="2465"/>
      <c r="AM8" s="2465"/>
      <c r="AN8" s="2465"/>
      <c r="AO8" s="2465"/>
      <c r="AP8" s="2465"/>
      <c r="AQ8" s="2465"/>
      <c r="AR8" s="2465"/>
      <c r="AS8" s="2465"/>
      <c r="AT8" s="2465"/>
      <c r="AU8" s="2465"/>
      <c r="AV8" s="2465"/>
      <c r="AW8" s="2465"/>
      <c r="AX8" s="2465"/>
      <c r="AY8" s="2465"/>
      <c r="AZ8" s="2465"/>
      <c r="BA8" s="2465"/>
      <c r="BB8" s="2465"/>
      <c r="BC8" s="2465"/>
      <c r="BD8" s="2465"/>
      <c r="BE8" s="2465"/>
      <c r="BF8" s="2465"/>
      <c r="BG8" s="2465"/>
      <c r="BH8" s="2465"/>
      <c r="BI8" s="2465"/>
      <c r="BJ8" s="2465"/>
      <c r="BK8" s="2465"/>
      <c r="BL8" s="2465"/>
      <c r="BM8" s="2465"/>
      <c r="BN8" s="2465"/>
      <c r="BO8" s="2465"/>
      <c r="BP8" s="2465"/>
      <c r="BQ8" s="2465"/>
      <c r="BR8" s="2465"/>
      <c r="BS8" s="2466"/>
      <c r="BT8" s="2467"/>
      <c r="BU8" s="2468"/>
      <c r="BV8" s="2468"/>
      <c r="BW8" s="2468"/>
      <c r="BX8" s="2468"/>
      <c r="BY8" s="2468"/>
      <c r="BZ8" s="2468"/>
      <c r="CA8" s="2468"/>
      <c r="CB8" s="2468"/>
      <c r="CC8" s="2468"/>
      <c r="CD8" s="2468"/>
      <c r="CE8" s="2468"/>
      <c r="CF8" s="2468"/>
      <c r="CG8" s="2468"/>
      <c r="CH8" s="2468"/>
      <c r="CI8" s="2468"/>
      <c r="CJ8" s="2468"/>
      <c r="CK8" s="2468"/>
      <c r="CL8" s="2468"/>
      <c r="CM8" s="2468"/>
      <c r="CN8" s="2468"/>
      <c r="CO8" s="2468"/>
      <c r="CP8" s="2468"/>
      <c r="CQ8" s="2468"/>
      <c r="CR8" s="2468"/>
      <c r="CS8" s="2468"/>
      <c r="CT8" s="2468"/>
      <c r="CU8" s="2468"/>
      <c r="CV8" s="2468"/>
      <c r="CW8" s="2468"/>
      <c r="CX8" s="2469"/>
      <c r="CY8" s="2470"/>
      <c r="CZ8" s="2471"/>
      <c r="DA8" s="2471"/>
      <c r="DB8" s="2471"/>
      <c r="DC8" s="2471"/>
      <c r="DD8" s="2471"/>
      <c r="DE8" s="2471"/>
      <c r="DF8" s="2471"/>
      <c r="DG8" s="2471"/>
      <c r="DH8" s="2471"/>
      <c r="DI8" s="2471"/>
      <c r="DJ8" s="2471"/>
      <c r="DK8" s="2471"/>
      <c r="DL8" s="2471"/>
      <c r="DM8" s="2471"/>
      <c r="DN8" s="2471"/>
      <c r="DO8" s="2471"/>
      <c r="DP8" s="2471"/>
      <c r="DQ8" s="2471"/>
      <c r="DR8" s="2471"/>
      <c r="DS8" s="2471"/>
      <c r="DT8" s="2471"/>
      <c r="DU8" s="2471"/>
      <c r="DV8" s="2471"/>
      <c r="DW8" s="2471"/>
      <c r="DX8" s="2472"/>
      <c r="DY8" s="2458" t="s">
        <v>1121</v>
      </c>
      <c r="DZ8" s="2459"/>
      <c r="EA8" s="2459"/>
      <c r="EB8" s="2459"/>
      <c r="EC8" s="2459"/>
      <c r="ED8" s="2459"/>
      <c r="EE8" s="2459"/>
      <c r="EF8" s="2459"/>
      <c r="EG8" s="2459"/>
      <c r="EH8" s="2459"/>
      <c r="EI8" s="2459"/>
      <c r="EJ8" s="2459"/>
      <c r="EK8" s="2459"/>
      <c r="EL8" s="2459"/>
      <c r="EM8" s="2459"/>
      <c r="EN8" s="2459"/>
      <c r="EO8" s="2459"/>
      <c r="EP8" s="2459"/>
      <c r="EQ8" s="2459"/>
      <c r="ER8" s="2459"/>
      <c r="ES8" s="2459"/>
      <c r="ET8" s="2459"/>
      <c r="EU8" s="2459"/>
      <c r="EV8" s="2459"/>
      <c r="EW8" s="2459"/>
      <c r="EX8" s="2459"/>
      <c r="EY8" s="2459"/>
      <c r="EZ8" s="2459"/>
      <c r="FA8" s="2459"/>
      <c r="FB8" s="2459"/>
      <c r="FC8" s="2459"/>
      <c r="FD8" s="2459"/>
      <c r="FE8" s="2459"/>
      <c r="FF8" s="2459"/>
      <c r="FG8" s="2459"/>
      <c r="FH8" s="2459"/>
      <c r="FI8" s="2459"/>
      <c r="FJ8" s="2459"/>
      <c r="FK8" s="2459"/>
      <c r="FL8" s="2459"/>
      <c r="FM8" s="2459"/>
      <c r="FN8" s="2459"/>
      <c r="FO8" s="2459"/>
      <c r="FP8" s="2459"/>
      <c r="FQ8" s="2459"/>
      <c r="FR8" s="2459"/>
      <c r="FS8" s="2459"/>
      <c r="FT8" s="2459"/>
      <c r="FU8" s="2459"/>
      <c r="FV8" s="2459"/>
      <c r="FW8" s="2460"/>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61"/>
      <c r="FX9" s="1058"/>
      <c r="GC9" s="935">
        <v>0</v>
      </c>
    </row>
    <row s="935" customFormat="1" customHeight="1" ht="11.549999999999999">
      <c r="B10" s="936"/>
      <c r="F10" s="2475" t="s">
        <v>295</v>
      </c>
      <c r="G10" s="2476"/>
      <c r="H10" s="2476"/>
      <c r="I10" s="2476"/>
      <c r="J10" s="2476"/>
      <c r="K10" s="2476"/>
      <c r="L10" s="2476"/>
      <c r="M10" s="2476"/>
      <c r="N10" s="2476"/>
      <c r="O10" s="2476"/>
      <c r="P10" s="2476"/>
      <c r="Q10" s="2476"/>
      <c r="R10" s="2476"/>
      <c r="S10" s="2476"/>
      <c r="T10" s="2476"/>
      <c r="U10" s="2476"/>
      <c r="V10" s="2476"/>
      <c r="W10" s="2476"/>
      <c r="X10" s="2476"/>
      <c r="Y10" s="2476"/>
      <c r="Z10" s="2476"/>
      <c r="AA10" s="2476"/>
      <c r="AB10" s="2476"/>
      <c r="AC10" s="2476"/>
      <c r="AD10" s="2476"/>
      <c r="AE10" s="2476"/>
      <c r="AF10" s="2476"/>
      <c r="AG10" s="2476"/>
      <c r="AH10" s="2476"/>
      <c r="AI10" s="2476"/>
      <c r="AJ10" s="2476"/>
      <c r="AK10" s="2476"/>
      <c r="AL10" s="2476"/>
      <c r="AM10" s="2476"/>
      <c r="AN10" s="2476"/>
      <c r="AO10" s="2476"/>
      <c r="AP10" s="2476"/>
      <c r="AQ10" s="2476"/>
      <c r="AR10" s="2476"/>
      <c r="AS10" s="2476"/>
      <c r="AT10" s="2476"/>
      <c r="AU10" s="2476"/>
      <c r="AV10" s="2476"/>
      <c r="AW10" s="2476"/>
      <c r="AX10" s="2476"/>
      <c r="AY10" s="2476"/>
      <c r="AZ10" s="2476"/>
      <c r="BA10" s="2476"/>
      <c r="BB10" s="2476"/>
      <c r="BC10" s="2476"/>
      <c r="BD10" s="2476"/>
      <c r="BE10" s="2476"/>
      <c r="BF10" s="2476"/>
      <c r="BG10" s="2476"/>
      <c r="BH10" s="2476"/>
      <c r="BI10" s="2476"/>
      <c r="BJ10" s="2476"/>
      <c r="BK10" s="2476"/>
      <c r="BL10" s="2476"/>
      <c r="BM10" s="2476"/>
      <c r="BN10" s="2476"/>
      <c r="BO10" s="2476"/>
      <c r="BP10" s="2476"/>
      <c r="BQ10" s="2476"/>
      <c r="BR10" s="2476"/>
      <c r="BS10" s="2476"/>
      <c r="BT10" s="2476"/>
      <c r="BU10" s="2476"/>
      <c r="BV10" s="2476"/>
      <c r="BW10" s="2476"/>
      <c r="BX10" s="2476"/>
      <c r="BY10" s="2476"/>
      <c r="BZ10" s="2476"/>
      <c r="CA10" s="2476"/>
      <c r="CB10" s="2476"/>
      <c r="CC10" s="2476"/>
      <c r="CD10" s="2476"/>
      <c r="CE10" s="2476"/>
      <c r="CF10" s="2476"/>
      <c r="CG10" s="2476"/>
      <c r="CH10" s="2476"/>
      <c r="CI10" s="2476"/>
      <c r="CJ10" s="2476"/>
      <c r="CK10" s="2476"/>
      <c r="CL10" s="2476"/>
      <c r="CM10" s="2476"/>
      <c r="CN10" s="2476"/>
      <c r="CO10" s="2476"/>
      <c r="CP10" s="2476"/>
      <c r="CQ10" s="2476"/>
      <c r="CR10" s="2476"/>
      <c r="CS10" s="2476"/>
      <c r="CT10" s="2476"/>
      <c r="CU10" s="2476"/>
      <c r="CV10" s="2476"/>
      <c r="CW10" s="2476"/>
      <c r="CX10" s="2476"/>
      <c r="CY10" s="2476"/>
      <c r="CZ10" s="2476"/>
      <c r="DA10" s="2476"/>
      <c r="DB10" s="2476"/>
      <c r="DC10" s="2476"/>
      <c r="DD10" s="2476"/>
      <c r="DE10" s="2476"/>
      <c r="DF10" s="2476"/>
      <c r="DG10" s="2476"/>
      <c r="DH10" s="2476"/>
      <c r="DI10" s="2476"/>
      <c r="DJ10" s="2476"/>
      <c r="DK10" s="2476"/>
      <c r="DL10" s="2476"/>
      <c r="DM10" s="2476"/>
      <c r="DN10" s="2476"/>
      <c r="DO10" s="2476"/>
      <c r="DP10" s="2476"/>
      <c r="DQ10" s="2476"/>
      <c r="DR10" s="2476"/>
      <c r="DS10" s="2476"/>
      <c r="DT10" s="2476"/>
      <c r="DU10" s="2476"/>
      <c r="DV10" s="2476"/>
      <c r="DW10" s="2476"/>
      <c r="DX10" s="2476"/>
      <c r="DY10" s="2476"/>
      <c r="DZ10" s="2476"/>
      <c r="EA10" s="2476"/>
      <c r="EB10" s="2476"/>
      <c r="EC10" s="2476"/>
      <c r="ED10" s="2476"/>
      <c r="EE10" s="2476"/>
      <c r="EF10" s="2476"/>
      <c r="EG10" s="2476"/>
      <c r="EH10" s="2476"/>
      <c r="EI10" s="2476"/>
      <c r="EJ10" s="2476"/>
      <c r="EK10" s="2476"/>
      <c r="EL10" s="2476"/>
      <c r="EM10" s="2476"/>
      <c r="EN10" s="2476"/>
      <c r="EO10" s="2476"/>
      <c r="EP10" s="2476"/>
      <c r="EQ10" s="2476"/>
      <c r="ER10" s="2476"/>
      <c r="ES10" s="2476"/>
      <c r="ET10" s="2476"/>
      <c r="EU10" s="2476"/>
      <c r="EV10" s="2476"/>
      <c r="EW10" s="2476"/>
      <c r="EX10" s="2476"/>
      <c r="EY10" s="2476"/>
      <c r="EZ10" s="2476"/>
      <c r="FA10" s="2476"/>
      <c r="FB10" s="2476"/>
      <c r="FC10" s="2476"/>
      <c r="FD10" s="2476"/>
      <c r="FE10" s="2476"/>
      <c r="FF10" s="2476"/>
      <c r="FG10" s="2476"/>
      <c r="FH10" s="2476"/>
      <c r="FI10" s="2476"/>
      <c r="FJ10" s="2476"/>
      <c r="FK10" s="2476"/>
      <c r="FL10" s="2476"/>
      <c r="FM10" s="2476"/>
      <c r="FN10" s="2476"/>
      <c r="FO10" s="2476"/>
      <c r="FP10" s="2476"/>
      <c r="FQ10" s="2476"/>
      <c r="FR10" s="2476"/>
      <c r="FS10" s="2476"/>
      <c r="FT10" s="2476"/>
      <c r="FU10" s="2476"/>
      <c r="FV10" s="2477"/>
      <c r="FW10" s="2461"/>
      <c r="FX10" s="1058"/>
      <c r="GC10" s="935">
        <v>11</v>
      </c>
    </row>
    <row customHeight="1" ht="12.75">
      <c r="E11" s="939"/>
      <c r="F11" s="2228" t="s">
        <v>88</v>
      </c>
      <c r="G11" s="2228" t="s">
        <v>1122</v>
      </c>
      <c r="H11" s="2474" t="s">
        <v>1123</v>
      </c>
      <c r="I11" s="2474" t="s">
        <v>1124</v>
      </c>
      <c r="J11" s="2473"/>
      <c r="K11" s="2473"/>
      <c r="L11" s="2473"/>
      <c r="M11" s="2473"/>
      <c r="N11" s="2473"/>
      <c r="O11" s="2232" t="s">
        <v>1125</v>
      </c>
      <c r="P11" s="2232"/>
      <c r="Q11" s="2232"/>
      <c r="R11" s="2232"/>
      <c r="S11" s="2232"/>
      <c r="T11" s="2232"/>
      <c r="U11" s="2232"/>
      <c r="V11" s="2232"/>
      <c r="W11" s="2232"/>
      <c r="X11" s="2232"/>
      <c r="Y11" s="2232"/>
      <c r="Z11" s="2232"/>
      <c r="AA11" s="2232"/>
      <c r="AB11" s="2232"/>
      <c r="AC11" s="2456"/>
      <c r="AD11" s="2456"/>
      <c r="AE11" s="2456"/>
      <c r="AF11" s="2456"/>
      <c r="AG11" s="2456"/>
      <c r="AH11" s="2456"/>
      <c r="AI11" s="2456"/>
      <c r="AJ11" s="2456"/>
      <c r="AK11" s="2456"/>
      <c r="AL11" s="2456"/>
      <c r="AM11" s="2456"/>
      <c r="AN11" s="2456"/>
      <c r="AO11" s="2456"/>
      <c r="AP11" s="2456"/>
      <c r="AQ11" s="2456"/>
      <c r="AR11" s="2456"/>
      <c r="AS11" s="2456"/>
      <c r="AT11" s="2456"/>
      <c r="AU11" s="2456"/>
      <c r="AV11" s="2456"/>
      <c r="AW11" s="2456"/>
      <c r="AX11" s="2456"/>
      <c r="AY11" s="2456"/>
      <c r="AZ11" s="2456"/>
      <c r="BA11" s="2456"/>
      <c r="BB11" s="2456"/>
      <c r="BC11" s="2456"/>
      <c r="BD11" s="2456"/>
      <c r="BE11" s="2456"/>
      <c r="BF11" s="2456"/>
      <c r="BG11" s="2456"/>
      <c r="BH11" s="2456"/>
      <c r="BI11" s="2456"/>
      <c r="BJ11" s="2456"/>
      <c r="BK11" s="2456"/>
      <c r="BL11" s="2456"/>
      <c r="BM11" s="2456"/>
      <c r="BN11" s="2456"/>
      <c r="BO11" s="2456"/>
      <c r="BP11" s="2456"/>
      <c r="BQ11" s="2456"/>
      <c r="BR11" s="2456"/>
      <c r="BS11" s="2457"/>
      <c r="BT11" s="2411" t="s">
        <v>1125</v>
      </c>
      <c r="BU11" s="2412"/>
      <c r="BV11" s="2412"/>
      <c r="BW11" s="2412"/>
      <c r="BX11" s="2412"/>
      <c r="BY11" s="2412"/>
      <c r="BZ11" s="2412"/>
      <c r="CA11" s="2412"/>
      <c r="CB11" s="2412"/>
      <c r="CC11" s="2412"/>
      <c r="CD11" s="2412"/>
      <c r="CE11" s="2412"/>
      <c r="CF11" s="2412"/>
      <c r="CG11" s="2412"/>
      <c r="CH11" s="2412"/>
      <c r="CI11" s="2412"/>
      <c r="CJ11" s="2412"/>
      <c r="CK11" s="2455"/>
      <c r="CL11" s="2463"/>
      <c r="CM11" s="2456"/>
      <c r="CN11" s="2456"/>
      <c r="CO11" s="2456"/>
      <c r="CP11" s="2456"/>
      <c r="CQ11" s="2456"/>
      <c r="CR11" s="2456"/>
      <c r="CS11" s="2456"/>
      <c r="CT11" s="2456"/>
      <c r="CU11" s="2456"/>
      <c r="CV11" s="2456"/>
      <c r="CW11" s="2456"/>
      <c r="CX11" s="2457"/>
      <c r="CY11" s="2411" t="s">
        <v>1125</v>
      </c>
      <c r="CZ11" s="2412"/>
      <c r="DA11" s="2412"/>
      <c r="DB11" s="2412"/>
      <c r="DC11" s="2412"/>
      <c r="DD11" s="2412"/>
      <c r="DE11" s="2412"/>
      <c r="DF11" s="2412"/>
      <c r="DG11" s="2412"/>
      <c r="DH11" s="2412"/>
      <c r="DI11" s="2412"/>
      <c r="DJ11" s="2455"/>
      <c r="DK11" s="2463"/>
      <c r="DL11" s="2456"/>
      <c r="DM11" s="2456"/>
      <c r="DN11" s="2456"/>
      <c r="DO11" s="2456"/>
      <c r="DP11" s="2456"/>
      <c r="DQ11" s="2456"/>
      <c r="DR11" s="2456"/>
      <c r="DS11" s="2456"/>
      <c r="DT11" s="2456"/>
      <c r="DU11" s="2456"/>
      <c r="DV11" s="2456"/>
      <c r="DW11" s="2456"/>
      <c r="DX11" s="2456"/>
      <c r="DY11" s="2456"/>
      <c r="DZ11" s="2456"/>
      <c r="EA11" s="2456"/>
      <c r="EB11" s="2456"/>
      <c r="EC11" s="2456"/>
      <c r="ED11" s="2456"/>
      <c r="EE11" s="2456"/>
      <c r="EF11" s="2456"/>
      <c r="EG11" s="2456"/>
      <c r="EH11" s="2456"/>
      <c r="EI11" s="2456"/>
      <c r="EJ11" s="2456"/>
      <c r="EK11" s="2456"/>
      <c r="EL11" s="2456"/>
      <c r="EM11" s="2456"/>
      <c r="EN11" s="2456"/>
      <c r="EO11" s="2456"/>
      <c r="EP11" s="2456"/>
      <c r="EQ11" s="2456"/>
      <c r="ER11" s="2456"/>
      <c r="ES11" s="2456"/>
      <c r="ET11" s="2456"/>
      <c r="EU11" s="2456"/>
      <c r="EV11" s="2456"/>
      <c r="EW11" s="2456"/>
      <c r="EX11" s="2456"/>
      <c r="EY11" s="2456"/>
      <c r="EZ11" s="2456"/>
      <c r="FA11" s="2456"/>
      <c r="FB11" s="2456"/>
      <c r="FC11" s="2456"/>
      <c r="FD11" s="2456"/>
      <c r="FE11" s="2456"/>
      <c r="FF11" s="2456"/>
      <c r="FG11" s="2456"/>
      <c r="FH11" s="2456"/>
      <c r="FI11" s="2456"/>
      <c r="FJ11" s="2456"/>
      <c r="FK11" s="2456"/>
      <c r="FL11" s="2456"/>
      <c r="FM11" s="2456"/>
      <c r="FN11" s="2456"/>
      <c r="FO11" s="2456"/>
      <c r="FP11" s="2456"/>
      <c r="FQ11" s="2456"/>
      <c r="FR11" s="2456"/>
      <c r="FS11" s="2456"/>
      <c r="FT11" s="2456"/>
      <c r="FU11" s="2456"/>
      <c r="FV11" s="2456"/>
      <c r="FW11" s="2461"/>
      <c r="FX11" s="764"/>
      <c r="GC11" s="928">
        <v>12</v>
      </c>
    </row>
    <row customHeight="1" ht="12.75">
      <c r="D12" s="940"/>
      <c r="E12" s="939"/>
      <c r="F12" s="2228"/>
      <c r="G12" s="2228"/>
      <c r="H12" s="2474"/>
      <c r="I12" s="2474"/>
      <c r="J12" s="2473"/>
      <c r="K12" s="2473"/>
      <c r="L12" s="2473"/>
      <c r="M12" s="2473"/>
      <c r="N12" s="2473"/>
      <c r="O12" s="2232" t="s">
        <v>1126</v>
      </c>
      <c r="P12" s="2232"/>
      <c r="Q12" s="2232"/>
      <c r="R12" s="2232"/>
      <c r="S12" s="2232" t="s">
        <v>1127</v>
      </c>
      <c r="T12" s="2232"/>
      <c r="U12" s="2232"/>
      <c r="V12" s="2232"/>
      <c r="W12" s="2232"/>
      <c r="X12" s="2232"/>
      <c r="Y12" s="2232"/>
      <c r="Z12" s="2232"/>
      <c r="AA12" s="2232"/>
      <c r="AB12" s="2232"/>
      <c r="AC12" s="2456"/>
      <c r="AD12" s="2456"/>
      <c r="AE12" s="2456"/>
      <c r="AF12" s="2456"/>
      <c r="AG12" s="2456"/>
      <c r="AH12" s="2456"/>
      <c r="AI12" s="2456"/>
      <c r="AJ12" s="2456"/>
      <c r="AK12" s="2456"/>
      <c r="AL12" s="2456"/>
      <c r="AM12" s="2456"/>
      <c r="AN12" s="2456"/>
      <c r="AO12" s="2456"/>
      <c r="AP12" s="2456"/>
      <c r="AQ12" s="2456"/>
      <c r="AR12" s="2456"/>
      <c r="AS12" s="2456"/>
      <c r="AT12" s="2456"/>
      <c r="AU12" s="2456"/>
      <c r="AV12" s="2456"/>
      <c r="AW12" s="2456"/>
      <c r="AX12" s="2456"/>
      <c r="AY12" s="2456"/>
      <c r="AZ12" s="2456"/>
      <c r="BA12" s="2456"/>
      <c r="BB12" s="2456"/>
      <c r="BC12" s="2456"/>
      <c r="BD12" s="2456"/>
      <c r="BE12" s="2456"/>
      <c r="BF12" s="2456"/>
      <c r="BG12" s="2456"/>
      <c r="BH12" s="2456"/>
      <c r="BI12" s="2456"/>
      <c r="BJ12" s="2456"/>
      <c r="BK12" s="2456"/>
      <c r="BL12" s="2456"/>
      <c r="BM12" s="2456"/>
      <c r="BN12" s="2456"/>
      <c r="BO12" s="2456"/>
      <c r="BP12" s="2456"/>
      <c r="BQ12" s="2456"/>
      <c r="BR12" s="2456"/>
      <c r="BS12" s="2457"/>
      <c r="BT12" s="2411" t="s">
        <v>1128</v>
      </c>
      <c r="BU12" s="2412"/>
      <c r="BV12" s="2412"/>
      <c r="BW12" s="2455"/>
      <c r="BX12" s="2411" t="s">
        <v>1129</v>
      </c>
      <c r="BY12" s="2412"/>
      <c r="BZ12" s="2412"/>
      <c r="CA12" s="2455"/>
      <c r="CB12" s="2411" t="s">
        <v>1130</v>
      </c>
      <c r="CC12" s="2455"/>
      <c r="CD12" s="2411" t="s">
        <v>1131</v>
      </c>
      <c r="CE12" s="2412"/>
      <c r="CF12" s="2412"/>
      <c r="CG12" s="2412"/>
      <c r="CH12" s="2412"/>
      <c r="CI12" s="2412"/>
      <c r="CJ12" s="2412"/>
      <c r="CK12" s="2455"/>
      <c r="CL12" s="2463"/>
      <c r="CM12" s="2456"/>
      <c r="CN12" s="2456"/>
      <c r="CO12" s="2456"/>
      <c r="CP12" s="2456"/>
      <c r="CQ12" s="2456"/>
      <c r="CR12" s="2456"/>
      <c r="CS12" s="2456"/>
      <c r="CT12" s="2456"/>
      <c r="CU12" s="2456"/>
      <c r="CV12" s="2456"/>
      <c r="CW12" s="2456"/>
      <c r="CX12" s="2457"/>
      <c r="CY12" s="2411" t="s">
        <v>1132</v>
      </c>
      <c r="CZ12" s="2412"/>
      <c r="DA12" s="2412"/>
      <c r="DB12" s="2412"/>
      <c r="DC12" s="2412"/>
      <c r="DD12" s="2455"/>
      <c r="DE12" s="2411" t="s">
        <v>1133</v>
      </c>
      <c r="DF12" s="2455"/>
      <c r="DG12" s="2411" t="s">
        <v>1131</v>
      </c>
      <c r="DH12" s="2412"/>
      <c r="DI12" s="2412"/>
      <c r="DJ12" s="2455"/>
      <c r="DK12" s="2463"/>
      <c r="DL12" s="2456"/>
      <c r="DM12" s="2456"/>
      <c r="DN12" s="2456"/>
      <c r="DO12" s="2456"/>
      <c r="DP12" s="2456"/>
      <c r="DQ12" s="2456"/>
      <c r="DR12" s="2456"/>
      <c r="DS12" s="2456"/>
      <c r="DT12" s="2456"/>
      <c r="DU12" s="2456"/>
      <c r="DV12" s="2456"/>
      <c r="DW12" s="2456"/>
      <c r="DX12" s="2456"/>
      <c r="DY12" s="2456"/>
      <c r="DZ12" s="2456"/>
      <c r="EA12" s="2456"/>
      <c r="EB12" s="2456"/>
      <c r="EC12" s="2456"/>
      <c r="ED12" s="2456"/>
      <c r="EE12" s="2456"/>
      <c r="EF12" s="2456"/>
      <c r="EG12" s="2456"/>
      <c r="EH12" s="2456"/>
      <c r="EI12" s="2456"/>
      <c r="EJ12" s="2456"/>
      <c r="EK12" s="2456"/>
      <c r="EL12" s="2456"/>
      <c r="EM12" s="2456"/>
      <c r="EN12" s="2456"/>
      <c r="EO12" s="2456"/>
      <c r="EP12" s="2456"/>
      <c r="EQ12" s="2456"/>
      <c r="ER12" s="2456"/>
      <c r="ES12" s="2456"/>
      <c r="ET12" s="2456"/>
      <c r="EU12" s="2456"/>
      <c r="EV12" s="2456"/>
      <c r="EW12" s="2456"/>
      <c r="EX12" s="2456"/>
      <c r="EY12" s="2456"/>
      <c r="EZ12" s="2456"/>
      <c r="FA12" s="2456"/>
      <c r="FB12" s="2456"/>
      <c r="FC12" s="2456"/>
      <c r="FD12" s="2456"/>
      <c r="FE12" s="2456"/>
      <c r="FF12" s="2456"/>
      <c r="FG12" s="2456"/>
      <c r="FH12" s="2456"/>
      <c r="FI12" s="2456"/>
      <c r="FJ12" s="2456"/>
      <c r="FK12" s="2456"/>
      <c r="FL12" s="2456"/>
      <c r="FM12" s="2456"/>
      <c r="FN12" s="2456"/>
      <c r="FO12" s="2456"/>
      <c r="FP12" s="2456"/>
      <c r="FQ12" s="2456"/>
      <c r="FR12" s="2456"/>
      <c r="FS12" s="2456"/>
      <c r="FT12" s="2456"/>
      <c r="FU12" s="2456"/>
      <c r="FV12" s="2456"/>
      <c r="FW12" s="2461"/>
      <c r="FX12" s="764"/>
      <c r="GC12" s="928">
        <v>12</v>
      </c>
    </row>
    <row customHeight="1" ht="37.8">
      <c r="D13" s="940"/>
      <c r="E13" s="939"/>
      <c r="F13" s="2228"/>
      <c r="G13" s="2228"/>
      <c r="H13" s="2474"/>
      <c r="I13" s="2474"/>
      <c r="J13" s="2473"/>
      <c r="K13" s="2473"/>
      <c r="L13" s="2473"/>
      <c r="M13" s="2473"/>
      <c r="N13" s="2473"/>
      <c r="O13" s="2232" t="s">
        <v>1134</v>
      </c>
      <c r="P13" s="2232"/>
      <c r="Q13" s="2232"/>
      <c r="R13" s="2232"/>
      <c r="S13" s="2366" t="s">
        <v>1135</v>
      </c>
      <c r="T13" s="2413"/>
      <c r="U13" s="2140" t="s">
        <v>1136</v>
      </c>
      <c r="V13" s="2140"/>
      <c r="W13" s="2140"/>
      <c r="X13" s="2140"/>
      <c r="Y13" s="2140" t="s">
        <v>1137</v>
      </c>
      <c r="Z13" s="2140"/>
      <c r="AA13" s="2140"/>
      <c r="AB13" s="2140"/>
      <c r="AC13" s="2456"/>
      <c r="AD13" s="2456"/>
      <c r="AE13" s="2456"/>
      <c r="AF13" s="2456"/>
      <c r="AG13" s="2456"/>
      <c r="AH13" s="2456"/>
      <c r="AI13" s="2456"/>
      <c r="AJ13" s="2456"/>
      <c r="AK13" s="2456"/>
      <c r="AL13" s="2456"/>
      <c r="AM13" s="2456"/>
      <c r="AN13" s="2456"/>
      <c r="AO13" s="2456"/>
      <c r="AP13" s="2456"/>
      <c r="AQ13" s="2456"/>
      <c r="AR13" s="2456"/>
      <c r="AS13" s="2456"/>
      <c r="AT13" s="2456"/>
      <c r="AU13" s="2456"/>
      <c r="AV13" s="2456"/>
      <c r="AW13" s="2456"/>
      <c r="AX13" s="2456"/>
      <c r="AY13" s="2456"/>
      <c r="AZ13" s="2456"/>
      <c r="BA13" s="2456"/>
      <c r="BB13" s="2456"/>
      <c r="BC13" s="2456"/>
      <c r="BD13" s="2456"/>
      <c r="BE13" s="2456"/>
      <c r="BF13" s="2456"/>
      <c r="BG13" s="2456"/>
      <c r="BH13" s="2456"/>
      <c r="BI13" s="2456"/>
      <c r="BJ13" s="2456"/>
      <c r="BK13" s="2456"/>
      <c r="BL13" s="2456"/>
      <c r="BM13" s="2456"/>
      <c r="BN13" s="2456"/>
      <c r="BO13" s="2456"/>
      <c r="BP13" s="2456"/>
      <c r="BQ13" s="2456"/>
      <c r="BR13" s="2456"/>
      <c r="BS13" s="2457"/>
      <c r="BT13" s="2366" t="s">
        <v>1138</v>
      </c>
      <c r="BU13" s="2413"/>
      <c r="BV13" s="2366" t="s">
        <v>1139</v>
      </c>
      <c r="BW13" s="2413"/>
      <c r="BX13" s="2366" t="s">
        <v>1140</v>
      </c>
      <c r="BY13" s="2413"/>
      <c r="BZ13" s="2366" t="s">
        <v>1141</v>
      </c>
      <c r="CA13" s="2413"/>
      <c r="CB13" s="2366" t="s">
        <v>1142</v>
      </c>
      <c r="CC13" s="2413"/>
      <c r="CD13" s="2366" t="s">
        <v>1143</v>
      </c>
      <c r="CE13" s="2413"/>
      <c r="CF13" s="2366" t="s">
        <v>1144</v>
      </c>
      <c r="CG13" s="2413"/>
      <c r="CH13" s="2411" t="s">
        <v>1145</v>
      </c>
      <c r="CI13" s="2412"/>
      <c r="CJ13" s="2412"/>
      <c r="CK13" s="2455"/>
      <c r="CL13" s="2463"/>
      <c r="CM13" s="2456"/>
      <c r="CN13" s="2456"/>
      <c r="CO13" s="2456"/>
      <c r="CP13" s="2456"/>
      <c r="CQ13" s="2456"/>
      <c r="CR13" s="2456"/>
      <c r="CS13" s="2456"/>
      <c r="CT13" s="2456"/>
      <c r="CU13" s="2456"/>
      <c r="CV13" s="2456"/>
      <c r="CW13" s="2456"/>
      <c r="CX13" s="2457"/>
      <c r="CY13" s="2366" t="s">
        <v>1146</v>
      </c>
      <c r="CZ13" s="2413"/>
      <c r="DA13" s="2366" t="s">
        <v>1147</v>
      </c>
      <c r="DB13" s="2413"/>
      <c r="DC13" s="2366" t="s">
        <v>1148</v>
      </c>
      <c r="DD13" s="2413"/>
      <c r="DE13" s="2366" t="s">
        <v>1149</v>
      </c>
      <c r="DF13" s="2413"/>
      <c r="DG13" s="2411" t="s">
        <v>1150</v>
      </c>
      <c r="DH13" s="2412"/>
      <c r="DI13" s="2412"/>
      <c r="DJ13" s="2455"/>
      <c r="DK13" s="2463"/>
      <c r="DL13" s="2456"/>
      <c r="DM13" s="2456"/>
      <c r="DN13" s="2456"/>
      <c r="DO13" s="2456"/>
      <c r="DP13" s="2456"/>
      <c r="DQ13" s="2456"/>
      <c r="DR13" s="2456"/>
      <c r="DS13" s="2456"/>
      <c r="DT13" s="2456"/>
      <c r="DU13" s="2456"/>
      <c r="DV13" s="2456"/>
      <c r="DW13" s="2456"/>
      <c r="DX13" s="2456"/>
      <c r="DY13" s="2456"/>
      <c r="DZ13" s="2456"/>
      <c r="EA13" s="2456"/>
      <c r="EB13" s="2456"/>
      <c r="EC13" s="2456"/>
      <c r="ED13" s="2456"/>
      <c r="EE13" s="2456"/>
      <c r="EF13" s="2456"/>
      <c r="EG13" s="2456"/>
      <c r="EH13" s="2456"/>
      <c r="EI13" s="2456"/>
      <c r="EJ13" s="2456"/>
      <c r="EK13" s="2456"/>
      <c r="EL13" s="2456"/>
      <c r="EM13" s="2456"/>
      <c r="EN13" s="2456"/>
      <c r="EO13" s="2456"/>
      <c r="EP13" s="2456"/>
      <c r="EQ13" s="2456"/>
      <c r="ER13" s="2456"/>
      <c r="ES13" s="2456"/>
      <c r="ET13" s="2456"/>
      <c r="EU13" s="2456"/>
      <c r="EV13" s="2456"/>
      <c r="EW13" s="2456"/>
      <c r="EX13" s="2456"/>
      <c r="EY13" s="2456"/>
      <c r="EZ13" s="2456"/>
      <c r="FA13" s="2456"/>
      <c r="FB13" s="2456"/>
      <c r="FC13" s="2456"/>
      <c r="FD13" s="2456"/>
      <c r="FE13" s="2456"/>
      <c r="FF13" s="2456"/>
      <c r="FG13" s="2456"/>
      <c r="FH13" s="2456"/>
      <c r="FI13" s="2456"/>
      <c r="FJ13" s="2456"/>
      <c r="FK13" s="2456"/>
      <c r="FL13" s="2456"/>
      <c r="FM13" s="2456"/>
      <c r="FN13" s="2456"/>
      <c r="FO13" s="2456"/>
      <c r="FP13" s="2456"/>
      <c r="FQ13" s="2456"/>
      <c r="FR13" s="2456"/>
      <c r="FS13" s="2456"/>
      <c r="FT13" s="2456"/>
      <c r="FU13" s="2456"/>
      <c r="FV13" s="2456"/>
      <c r="FW13" s="2461"/>
      <c r="FX13" s="764"/>
      <c r="GC13" s="928">
        <v>36</v>
      </c>
    </row>
    <row customHeight="1" ht="37.8">
      <c r="D14" s="940"/>
      <c r="E14" s="939"/>
      <c r="F14" s="2228"/>
      <c r="G14" s="2228"/>
      <c r="H14" s="2474"/>
      <c r="I14" s="2474"/>
      <c r="J14" s="2473"/>
      <c r="K14" s="2473"/>
      <c r="L14" s="2473"/>
      <c r="M14" s="2473"/>
      <c r="N14" s="2473"/>
      <c r="O14" s="2366" t="s">
        <v>1151</v>
      </c>
      <c r="P14" s="2413"/>
      <c r="Q14" s="2366" t="s">
        <v>1152</v>
      </c>
      <c r="R14" s="2413"/>
      <c r="S14" s="2367"/>
      <c r="T14" s="2236"/>
      <c r="U14" s="2366" t="s">
        <v>847</v>
      </c>
      <c r="V14" s="2413"/>
      <c r="W14" s="2366" t="s">
        <v>850</v>
      </c>
      <c r="X14" s="2413"/>
      <c r="Y14" s="2366" t="s">
        <v>847</v>
      </c>
      <c r="Z14" s="2413"/>
      <c r="AA14" s="2366" t="s">
        <v>857</v>
      </c>
      <c r="AB14" s="2413"/>
      <c r="AC14" s="2456"/>
      <c r="AD14" s="2456"/>
      <c r="AE14" s="2456"/>
      <c r="AF14" s="2456"/>
      <c r="AG14" s="2456"/>
      <c r="AH14" s="2456"/>
      <c r="AI14" s="2456"/>
      <c r="AJ14" s="2456"/>
      <c r="AK14" s="2456"/>
      <c r="AL14" s="2456"/>
      <c r="AM14" s="2456"/>
      <c r="AN14" s="2456"/>
      <c r="AO14" s="2456"/>
      <c r="AP14" s="2456"/>
      <c r="AQ14" s="2456"/>
      <c r="AR14" s="2456"/>
      <c r="AS14" s="2456"/>
      <c r="AT14" s="2456"/>
      <c r="AU14" s="2456"/>
      <c r="AV14" s="2456"/>
      <c r="AW14" s="2456"/>
      <c r="AX14" s="2456"/>
      <c r="AY14" s="2456"/>
      <c r="AZ14" s="2456"/>
      <c r="BA14" s="2456"/>
      <c r="BB14" s="2456"/>
      <c r="BC14" s="2456"/>
      <c r="BD14" s="2456"/>
      <c r="BE14" s="2456"/>
      <c r="BF14" s="2456"/>
      <c r="BG14" s="2456"/>
      <c r="BH14" s="2456"/>
      <c r="BI14" s="2456"/>
      <c r="BJ14" s="2456"/>
      <c r="BK14" s="2456"/>
      <c r="BL14" s="2456"/>
      <c r="BM14" s="2456"/>
      <c r="BN14" s="2456"/>
      <c r="BO14" s="2456"/>
      <c r="BP14" s="2456"/>
      <c r="BQ14" s="2456"/>
      <c r="BR14" s="2456"/>
      <c r="BS14" s="2457"/>
      <c r="BT14" s="2367"/>
      <c r="BU14" s="2236"/>
      <c r="BV14" s="2367"/>
      <c r="BW14" s="2236"/>
      <c r="BX14" s="2367"/>
      <c r="BY14" s="2236"/>
      <c r="BZ14" s="2367"/>
      <c r="CA14" s="2236"/>
      <c r="CB14" s="2367"/>
      <c r="CC14" s="2236"/>
      <c r="CD14" s="2367"/>
      <c r="CE14" s="2236"/>
      <c r="CF14" s="2367"/>
      <c r="CG14" s="2236"/>
      <c r="CH14" s="2366" t="s">
        <v>1153</v>
      </c>
      <c r="CI14" s="2413"/>
      <c r="CJ14" s="2366" t="s">
        <v>1154</v>
      </c>
      <c r="CK14" s="2413"/>
      <c r="CL14" s="2463"/>
      <c r="CM14" s="2456"/>
      <c r="CN14" s="2456"/>
      <c r="CO14" s="2456"/>
      <c r="CP14" s="2456"/>
      <c r="CQ14" s="2456"/>
      <c r="CR14" s="2456"/>
      <c r="CS14" s="2456"/>
      <c r="CT14" s="2456"/>
      <c r="CU14" s="2456"/>
      <c r="CV14" s="2456"/>
      <c r="CW14" s="2456"/>
      <c r="CX14" s="2457"/>
      <c r="CY14" s="2367"/>
      <c r="CZ14" s="2236"/>
      <c r="DA14" s="2367"/>
      <c r="DB14" s="2236"/>
      <c r="DC14" s="2367"/>
      <c r="DD14" s="2236"/>
      <c r="DE14" s="2367"/>
      <c r="DF14" s="2236"/>
      <c r="DG14" s="2366" t="s">
        <v>1155</v>
      </c>
      <c r="DH14" s="2413"/>
      <c r="DI14" s="2366" t="s">
        <v>1156</v>
      </c>
      <c r="DJ14" s="2413"/>
      <c r="DK14" s="2463"/>
      <c r="DL14" s="2456"/>
      <c r="DM14" s="2456"/>
      <c r="DN14" s="2456"/>
      <c r="DO14" s="2456"/>
      <c r="DP14" s="2456"/>
      <c r="DQ14" s="2456"/>
      <c r="DR14" s="2456"/>
      <c r="DS14" s="2456"/>
      <c r="DT14" s="2456"/>
      <c r="DU14" s="2456"/>
      <c r="DV14" s="2456"/>
      <c r="DW14" s="2456"/>
      <c r="DX14" s="2456"/>
      <c r="DY14" s="2456"/>
      <c r="DZ14" s="2456"/>
      <c r="EA14" s="2456"/>
      <c r="EB14" s="2456"/>
      <c r="EC14" s="2456"/>
      <c r="ED14" s="2456"/>
      <c r="EE14" s="2456"/>
      <c r="EF14" s="2456"/>
      <c r="EG14" s="2456"/>
      <c r="EH14" s="2456"/>
      <c r="EI14" s="2456"/>
      <c r="EJ14" s="2456"/>
      <c r="EK14" s="2456"/>
      <c r="EL14" s="2456"/>
      <c r="EM14" s="2456"/>
      <c r="EN14" s="2456"/>
      <c r="EO14" s="2456"/>
      <c r="EP14" s="2456"/>
      <c r="EQ14" s="2456"/>
      <c r="ER14" s="2456"/>
      <c r="ES14" s="2456"/>
      <c r="ET14" s="2456"/>
      <c r="EU14" s="2456"/>
      <c r="EV14" s="2456"/>
      <c r="EW14" s="2456"/>
      <c r="EX14" s="2456"/>
      <c r="EY14" s="2456"/>
      <c r="EZ14" s="2456"/>
      <c r="FA14" s="2456"/>
      <c r="FB14" s="2456"/>
      <c r="FC14" s="2456"/>
      <c r="FD14" s="2456"/>
      <c r="FE14" s="2456"/>
      <c r="FF14" s="2456"/>
      <c r="FG14" s="2456"/>
      <c r="FH14" s="2456"/>
      <c r="FI14" s="2456"/>
      <c r="FJ14" s="2456"/>
      <c r="FK14" s="2456"/>
      <c r="FL14" s="2456"/>
      <c r="FM14" s="2456"/>
      <c r="FN14" s="2456"/>
      <c r="FO14" s="2456"/>
      <c r="FP14" s="2456"/>
      <c r="FQ14" s="2456"/>
      <c r="FR14" s="2456"/>
      <c r="FS14" s="2456"/>
      <c r="FT14" s="2456"/>
      <c r="FU14" s="2456"/>
      <c r="FV14" s="2456"/>
      <c r="FW14" s="2461"/>
      <c r="FX14" s="764"/>
      <c r="GC14" s="928">
        <v>36</v>
      </c>
    </row>
    <row customHeight="1" ht="37.8">
      <c r="D15" s="940"/>
      <c r="E15" s="939"/>
      <c r="F15" s="2228"/>
      <c r="G15" s="2228"/>
      <c r="H15" s="2474"/>
      <c r="I15" s="2474"/>
      <c r="J15" s="2473"/>
      <c r="K15" s="2473"/>
      <c r="L15" s="2473"/>
      <c r="M15" s="2473"/>
      <c r="N15" s="2473"/>
      <c r="O15" s="2368"/>
      <c r="P15" s="2454"/>
      <c r="Q15" s="2368"/>
      <c r="R15" s="2454"/>
      <c r="S15" s="2368"/>
      <c r="T15" s="2454"/>
      <c r="U15" s="2368"/>
      <c r="V15" s="2454"/>
      <c r="W15" s="2368"/>
      <c r="X15" s="2454"/>
      <c r="Y15" s="2368"/>
      <c r="Z15" s="2454"/>
      <c r="AA15" s="2368"/>
      <c r="AB15" s="2454"/>
      <c r="AC15" s="2456"/>
      <c r="AD15" s="2456"/>
      <c r="AE15" s="2456"/>
      <c r="AF15" s="2456"/>
      <c r="AG15" s="2456"/>
      <c r="AH15" s="2456"/>
      <c r="AI15" s="2456"/>
      <c r="AJ15" s="2456"/>
      <c r="AK15" s="2456"/>
      <c r="AL15" s="2456"/>
      <c r="AM15" s="2456"/>
      <c r="AN15" s="2456"/>
      <c r="AO15" s="2456"/>
      <c r="AP15" s="2456"/>
      <c r="AQ15" s="2456"/>
      <c r="AR15" s="2456"/>
      <c r="AS15" s="2456"/>
      <c r="AT15" s="2456"/>
      <c r="AU15" s="2456"/>
      <c r="AV15" s="2456"/>
      <c r="AW15" s="2456"/>
      <c r="AX15" s="2456"/>
      <c r="AY15" s="2456"/>
      <c r="AZ15" s="2456"/>
      <c r="BA15" s="2456"/>
      <c r="BB15" s="2456"/>
      <c r="BC15" s="2456"/>
      <c r="BD15" s="2456"/>
      <c r="BE15" s="2456"/>
      <c r="BF15" s="2456"/>
      <c r="BG15" s="2456"/>
      <c r="BH15" s="2456"/>
      <c r="BI15" s="2456"/>
      <c r="BJ15" s="2456"/>
      <c r="BK15" s="2456"/>
      <c r="BL15" s="2456"/>
      <c r="BM15" s="2456"/>
      <c r="BN15" s="2456"/>
      <c r="BO15" s="2456"/>
      <c r="BP15" s="2456"/>
      <c r="BQ15" s="2456"/>
      <c r="BR15" s="2456"/>
      <c r="BS15" s="2457"/>
      <c r="BT15" s="2368"/>
      <c r="BU15" s="2454"/>
      <c r="BV15" s="2368"/>
      <c r="BW15" s="2454"/>
      <c r="BX15" s="2368"/>
      <c r="BY15" s="2454"/>
      <c r="BZ15" s="2368"/>
      <c r="CA15" s="2454"/>
      <c r="CB15" s="2368"/>
      <c r="CC15" s="2454"/>
      <c r="CD15" s="2368"/>
      <c r="CE15" s="2454"/>
      <c r="CF15" s="2368"/>
      <c r="CG15" s="2454"/>
      <c r="CH15" s="2368"/>
      <c r="CI15" s="2454"/>
      <c r="CJ15" s="2368"/>
      <c r="CK15" s="2454"/>
      <c r="CL15" s="2463"/>
      <c r="CM15" s="2456"/>
      <c r="CN15" s="2456"/>
      <c r="CO15" s="2456"/>
      <c r="CP15" s="2456"/>
      <c r="CQ15" s="2456"/>
      <c r="CR15" s="2456"/>
      <c r="CS15" s="2456"/>
      <c r="CT15" s="2456"/>
      <c r="CU15" s="2456"/>
      <c r="CV15" s="2456"/>
      <c r="CW15" s="2456"/>
      <c r="CX15" s="2457"/>
      <c r="CY15" s="2368"/>
      <c r="CZ15" s="2454"/>
      <c r="DA15" s="2368"/>
      <c r="DB15" s="2454"/>
      <c r="DC15" s="2368"/>
      <c r="DD15" s="2454"/>
      <c r="DE15" s="2368"/>
      <c r="DF15" s="2454"/>
      <c r="DG15" s="2368"/>
      <c r="DH15" s="2454"/>
      <c r="DI15" s="2368"/>
      <c r="DJ15" s="2454"/>
      <c r="DK15" s="2463"/>
      <c r="DL15" s="2456"/>
      <c r="DM15" s="2456"/>
      <c r="DN15" s="2456"/>
      <c r="DO15" s="2456"/>
      <c r="DP15" s="2456"/>
      <c r="DQ15" s="2456"/>
      <c r="DR15" s="2456"/>
      <c r="DS15" s="2456"/>
      <c r="DT15" s="2456"/>
      <c r="DU15" s="2456"/>
      <c r="DV15" s="2456"/>
      <c r="DW15" s="2456"/>
      <c r="DX15" s="2456"/>
      <c r="DY15" s="2456"/>
      <c r="DZ15" s="2456"/>
      <c r="EA15" s="2456"/>
      <c r="EB15" s="2456"/>
      <c r="EC15" s="2456"/>
      <c r="ED15" s="2456"/>
      <c r="EE15" s="2456"/>
      <c r="EF15" s="2456"/>
      <c r="EG15" s="2456"/>
      <c r="EH15" s="2456"/>
      <c r="EI15" s="2456"/>
      <c r="EJ15" s="2456"/>
      <c r="EK15" s="2456"/>
      <c r="EL15" s="2456"/>
      <c r="EM15" s="2456"/>
      <c r="EN15" s="2456"/>
      <c r="EO15" s="2456"/>
      <c r="EP15" s="2456"/>
      <c r="EQ15" s="2456"/>
      <c r="ER15" s="2456"/>
      <c r="ES15" s="2456"/>
      <c r="ET15" s="2456"/>
      <c r="EU15" s="2456"/>
      <c r="EV15" s="2456"/>
      <c r="EW15" s="2456"/>
      <c r="EX15" s="2456"/>
      <c r="EY15" s="2456"/>
      <c r="EZ15" s="2456"/>
      <c r="FA15" s="2456"/>
      <c r="FB15" s="2456"/>
      <c r="FC15" s="2456"/>
      <c r="FD15" s="2456"/>
      <c r="FE15" s="2456"/>
      <c r="FF15" s="2456"/>
      <c r="FG15" s="2456"/>
      <c r="FH15" s="2456"/>
      <c r="FI15" s="2456"/>
      <c r="FJ15" s="2456"/>
      <c r="FK15" s="2456"/>
      <c r="FL15" s="2456"/>
      <c r="FM15" s="2456"/>
      <c r="FN15" s="2456"/>
      <c r="FO15" s="2456"/>
      <c r="FP15" s="2456"/>
      <c r="FQ15" s="2456"/>
      <c r="FR15" s="2456"/>
      <c r="FS15" s="2456"/>
      <c r="FT15" s="2456"/>
      <c r="FU15" s="2456"/>
      <c r="FV15" s="2456"/>
      <c r="FW15" s="2461"/>
      <c r="FX15" s="764"/>
      <c r="GC15" s="928">
        <v>36</v>
      </c>
    </row>
    <row customHeight="1" ht="12.75">
      <c r="D16" s="940"/>
      <c r="E16" s="939"/>
      <c r="F16" s="2228"/>
      <c r="G16" s="2228"/>
      <c r="H16" s="2474"/>
      <c r="I16" s="2474"/>
      <c r="J16" s="2473"/>
      <c r="K16" s="2473"/>
      <c r="L16" s="2473"/>
      <c r="M16" s="2473"/>
      <c r="N16" s="2473"/>
      <c r="O16" s="2411" t="s">
        <v>837</v>
      </c>
      <c r="P16" s="2455"/>
      <c r="Q16" s="2411" t="s">
        <v>839</v>
      </c>
      <c r="R16" s="2455"/>
      <c r="S16" s="2411" t="s">
        <v>843</v>
      </c>
      <c r="T16" s="2455"/>
      <c r="U16" s="2411" t="s">
        <v>848</v>
      </c>
      <c r="V16" s="2455"/>
      <c r="W16" s="2411" t="s">
        <v>851</v>
      </c>
      <c r="X16" s="2455"/>
      <c r="Y16" s="2411" t="s">
        <v>855</v>
      </c>
      <c r="Z16" s="2455"/>
      <c r="AA16" s="2411" t="s">
        <v>858</v>
      </c>
      <c r="AB16" s="2455"/>
      <c r="AC16" s="2456"/>
      <c r="AD16" s="2456"/>
      <c r="AE16" s="2456"/>
      <c r="AF16" s="2456"/>
      <c r="AG16" s="2456"/>
      <c r="AH16" s="2456"/>
      <c r="AI16" s="2456"/>
      <c r="AJ16" s="2456"/>
      <c r="AK16" s="2456"/>
      <c r="AL16" s="2456"/>
      <c r="AM16" s="2456"/>
      <c r="AN16" s="2456"/>
      <c r="AO16" s="2456"/>
      <c r="AP16" s="2456"/>
      <c r="AQ16" s="2456"/>
      <c r="AR16" s="2456"/>
      <c r="AS16" s="2456"/>
      <c r="AT16" s="2456"/>
      <c r="AU16" s="2456"/>
      <c r="AV16" s="2456"/>
      <c r="AW16" s="2456"/>
      <c r="AX16" s="2456"/>
      <c r="AY16" s="2456"/>
      <c r="AZ16" s="2456"/>
      <c r="BA16" s="2456"/>
      <c r="BB16" s="2456"/>
      <c r="BC16" s="2456"/>
      <c r="BD16" s="2456"/>
      <c r="BE16" s="2456"/>
      <c r="BF16" s="2456"/>
      <c r="BG16" s="2456"/>
      <c r="BH16" s="2456"/>
      <c r="BI16" s="2456"/>
      <c r="BJ16" s="2456"/>
      <c r="BK16" s="2456"/>
      <c r="BL16" s="2456"/>
      <c r="BM16" s="2456"/>
      <c r="BN16" s="2456"/>
      <c r="BO16" s="2456"/>
      <c r="BP16" s="2456"/>
      <c r="BQ16" s="2456"/>
      <c r="BR16" s="2456"/>
      <c r="BS16" s="2457"/>
      <c r="BT16" s="2411" t="s">
        <v>551</v>
      </c>
      <c r="BU16" s="2455"/>
      <c r="BV16" s="2411" t="s">
        <v>551</v>
      </c>
      <c r="BW16" s="2455"/>
      <c r="BX16" s="2411" t="s">
        <v>551</v>
      </c>
      <c r="BY16" s="2455"/>
      <c r="BZ16" s="2411" t="s">
        <v>551</v>
      </c>
      <c r="CA16" s="2455"/>
      <c r="CB16" s="2411" t="s">
        <v>1157</v>
      </c>
      <c r="CC16" s="2455"/>
      <c r="CD16" s="2411" t="s">
        <v>551</v>
      </c>
      <c r="CE16" s="2455"/>
      <c r="CF16" s="2411" t="s">
        <v>1158</v>
      </c>
      <c r="CG16" s="2455"/>
      <c r="CH16" s="2411" t="s">
        <v>1159</v>
      </c>
      <c r="CI16" s="2455"/>
      <c r="CJ16" s="2411" t="s">
        <v>1159</v>
      </c>
      <c r="CK16" s="2455"/>
      <c r="CL16" s="2463"/>
      <c r="CM16" s="2456"/>
      <c r="CN16" s="2456"/>
      <c r="CO16" s="2456"/>
      <c r="CP16" s="2456"/>
      <c r="CQ16" s="2456"/>
      <c r="CR16" s="2456"/>
      <c r="CS16" s="2456"/>
      <c r="CT16" s="2456"/>
      <c r="CU16" s="2456"/>
      <c r="CV16" s="2456"/>
      <c r="CW16" s="2456"/>
      <c r="CX16" s="2457"/>
      <c r="CY16" s="2366" t="s">
        <v>551</v>
      </c>
      <c r="CZ16" s="2413"/>
      <c r="DA16" s="2366" t="s">
        <v>551</v>
      </c>
      <c r="DB16" s="2413"/>
      <c r="DC16" s="2366" t="s">
        <v>551</v>
      </c>
      <c r="DD16" s="2413"/>
      <c r="DE16" s="2411" t="s">
        <v>1157</v>
      </c>
      <c r="DF16" s="2455"/>
      <c r="DG16" s="2411" t="s">
        <v>1160</v>
      </c>
      <c r="DH16" s="2455"/>
      <c r="DI16" s="2411" t="s">
        <v>1160</v>
      </c>
      <c r="DJ16" s="2455"/>
      <c r="DK16" s="2463"/>
      <c r="DL16" s="2456"/>
      <c r="DM16" s="2456"/>
      <c r="DN16" s="2456"/>
      <c r="DO16" s="2456"/>
      <c r="DP16" s="2456"/>
      <c r="DQ16" s="2456"/>
      <c r="DR16" s="2456"/>
      <c r="DS16" s="2456"/>
      <c r="DT16" s="2456"/>
      <c r="DU16" s="2456"/>
      <c r="DV16" s="2456"/>
      <c r="DW16" s="2456"/>
      <c r="DX16" s="2456"/>
      <c r="DY16" s="2456"/>
      <c r="DZ16" s="2456"/>
      <c r="EA16" s="2456"/>
      <c r="EB16" s="2456"/>
      <c r="EC16" s="2456"/>
      <c r="ED16" s="2456"/>
      <c r="EE16" s="2456"/>
      <c r="EF16" s="2456"/>
      <c r="EG16" s="2456"/>
      <c r="EH16" s="2456"/>
      <c r="EI16" s="2456"/>
      <c r="EJ16" s="2456"/>
      <c r="EK16" s="2456"/>
      <c r="EL16" s="2456"/>
      <c r="EM16" s="2456"/>
      <c r="EN16" s="2456"/>
      <c r="EO16" s="2456"/>
      <c r="EP16" s="2456"/>
      <c r="EQ16" s="2456"/>
      <c r="ER16" s="2456"/>
      <c r="ES16" s="2456"/>
      <c r="ET16" s="2456"/>
      <c r="EU16" s="2456"/>
      <c r="EV16" s="2456"/>
      <c r="EW16" s="2456"/>
      <c r="EX16" s="2456"/>
      <c r="EY16" s="2456"/>
      <c r="EZ16" s="2456"/>
      <c r="FA16" s="2456"/>
      <c r="FB16" s="2456"/>
      <c r="FC16" s="2456"/>
      <c r="FD16" s="2456"/>
      <c r="FE16" s="2456"/>
      <c r="FF16" s="2456"/>
      <c r="FG16" s="2456"/>
      <c r="FH16" s="2456"/>
      <c r="FI16" s="2456"/>
      <c r="FJ16" s="2456"/>
      <c r="FK16" s="2456"/>
      <c r="FL16" s="2456"/>
      <c r="FM16" s="2456"/>
      <c r="FN16" s="2456"/>
      <c r="FO16" s="2456"/>
      <c r="FP16" s="2456"/>
      <c r="FQ16" s="2456"/>
      <c r="FR16" s="2456"/>
      <c r="FS16" s="2456"/>
      <c r="FT16" s="2456"/>
      <c r="FU16" s="2456"/>
      <c r="FV16" s="2456"/>
      <c r="FW16" s="2461"/>
      <c r="FX16" s="764"/>
      <c r="GC16" s="928">
        <v>12</v>
      </c>
    </row>
    <row customHeight="1" ht="15.75">
      <c r="E17" s="939"/>
      <c r="F17" s="2228"/>
      <c r="G17" s="2228"/>
      <c r="H17" s="2474"/>
      <c r="I17" s="2474"/>
      <c r="J17" s="2473"/>
      <c r="K17" s="2473"/>
      <c r="L17" s="2473"/>
      <c r="M17" s="2473"/>
      <c r="N17" s="2473"/>
      <c r="O17" s="1193" t="s">
        <v>1161</v>
      </c>
      <c r="P17" s="1193" t="s">
        <v>1162</v>
      </c>
      <c r="Q17" s="1193" t="s">
        <v>1161</v>
      </c>
      <c r="R17" s="1193" t="s">
        <v>1162</v>
      </c>
      <c r="S17" s="1193" t="s">
        <v>1161</v>
      </c>
      <c r="T17" s="1193" t="s">
        <v>1162</v>
      </c>
      <c r="U17" s="1193" t="s">
        <v>1161</v>
      </c>
      <c r="V17" s="1193" t="s">
        <v>1162</v>
      </c>
      <c r="W17" s="1193" t="s">
        <v>1161</v>
      </c>
      <c r="X17" s="1193" t="s">
        <v>1162</v>
      </c>
      <c r="Y17" s="1193" t="s">
        <v>1161</v>
      </c>
      <c r="Z17" s="1193" t="s">
        <v>1162</v>
      </c>
      <c r="AA17" s="1193" t="s">
        <v>1161</v>
      </c>
      <c r="AB17" s="1193" t="s">
        <v>1162</v>
      </c>
      <c r="AC17" s="2456"/>
      <c r="AD17" s="2456"/>
      <c r="AE17" s="2456"/>
      <c r="AF17" s="2456"/>
      <c r="AG17" s="2456"/>
      <c r="AH17" s="2456"/>
      <c r="AI17" s="2456"/>
      <c r="AJ17" s="2456"/>
      <c r="AK17" s="2456"/>
      <c r="AL17" s="2456"/>
      <c r="AM17" s="2456"/>
      <c r="AN17" s="2456"/>
      <c r="AO17" s="2456"/>
      <c r="AP17" s="2456"/>
      <c r="AQ17" s="2456"/>
      <c r="AR17" s="2456"/>
      <c r="AS17" s="2456"/>
      <c r="AT17" s="2456"/>
      <c r="AU17" s="2456"/>
      <c r="AV17" s="2456"/>
      <c r="AW17" s="2456"/>
      <c r="AX17" s="2456"/>
      <c r="AY17" s="2456"/>
      <c r="AZ17" s="2456"/>
      <c r="BA17" s="2456"/>
      <c r="BB17" s="2456"/>
      <c r="BC17" s="2456"/>
      <c r="BD17" s="2456"/>
      <c r="BE17" s="2456"/>
      <c r="BF17" s="2456"/>
      <c r="BG17" s="2456"/>
      <c r="BH17" s="2456"/>
      <c r="BI17" s="2456"/>
      <c r="BJ17" s="2456"/>
      <c r="BK17" s="2456"/>
      <c r="BL17" s="2456"/>
      <c r="BM17" s="2456"/>
      <c r="BN17" s="2456"/>
      <c r="BO17" s="2456"/>
      <c r="BP17" s="2456"/>
      <c r="BQ17" s="2456"/>
      <c r="BR17" s="2456"/>
      <c r="BS17" s="2457"/>
      <c r="BT17" s="1193" t="s">
        <v>1161</v>
      </c>
      <c r="BU17" s="1193" t="s">
        <v>1162</v>
      </c>
      <c r="BV17" s="1193" t="s">
        <v>1161</v>
      </c>
      <c r="BW17" s="1193" t="s">
        <v>1162</v>
      </c>
      <c r="BX17" s="1193" t="s">
        <v>1161</v>
      </c>
      <c r="BY17" s="1193" t="s">
        <v>1162</v>
      </c>
      <c r="BZ17" s="1193" t="s">
        <v>1161</v>
      </c>
      <c r="CA17" s="1193" t="s">
        <v>1162</v>
      </c>
      <c r="CB17" s="1193" t="s">
        <v>1161</v>
      </c>
      <c r="CC17" s="1193" t="s">
        <v>1162</v>
      </c>
      <c r="CD17" s="1193" t="s">
        <v>1161</v>
      </c>
      <c r="CE17" s="1193" t="s">
        <v>1162</v>
      </c>
      <c r="CF17" s="1193" t="s">
        <v>1161</v>
      </c>
      <c r="CG17" s="1193" t="s">
        <v>1162</v>
      </c>
      <c r="CH17" s="1193" t="s">
        <v>1161</v>
      </c>
      <c r="CI17" s="1193" t="s">
        <v>1162</v>
      </c>
      <c r="CJ17" s="1193" t="s">
        <v>1161</v>
      </c>
      <c r="CK17" s="1193" t="s">
        <v>1162</v>
      </c>
      <c r="CL17" s="2463"/>
      <c r="CM17" s="2456"/>
      <c r="CN17" s="2456"/>
      <c r="CO17" s="2456"/>
      <c r="CP17" s="2456"/>
      <c r="CQ17" s="2456"/>
      <c r="CR17" s="2456"/>
      <c r="CS17" s="2456"/>
      <c r="CT17" s="2456"/>
      <c r="CU17" s="2456"/>
      <c r="CV17" s="2456"/>
      <c r="CW17" s="2456"/>
      <c r="CX17" s="2457"/>
      <c r="CY17" s="1193" t="s">
        <v>1161</v>
      </c>
      <c r="CZ17" s="1193" t="s">
        <v>1162</v>
      </c>
      <c r="DA17" s="1193" t="s">
        <v>1161</v>
      </c>
      <c r="DB17" s="1193" t="s">
        <v>1162</v>
      </c>
      <c r="DC17" s="1193" t="s">
        <v>1161</v>
      </c>
      <c r="DD17" s="1193" t="s">
        <v>1162</v>
      </c>
      <c r="DE17" s="1193" t="s">
        <v>1161</v>
      </c>
      <c r="DF17" s="1193" t="s">
        <v>1162</v>
      </c>
      <c r="DG17" s="1193" t="s">
        <v>1161</v>
      </c>
      <c r="DH17" s="1193" t="s">
        <v>1162</v>
      </c>
      <c r="DI17" s="1193" t="s">
        <v>1161</v>
      </c>
      <c r="DJ17" s="1193" t="s">
        <v>1162</v>
      </c>
      <c r="DK17" s="2463"/>
      <c r="DL17" s="2456"/>
      <c r="DM17" s="2456"/>
      <c r="DN17" s="2456"/>
      <c r="DO17" s="2456"/>
      <c r="DP17" s="2456"/>
      <c r="DQ17" s="2456"/>
      <c r="DR17" s="2456"/>
      <c r="DS17" s="2456"/>
      <c r="DT17" s="2456"/>
      <c r="DU17" s="2456"/>
      <c r="DV17" s="2456"/>
      <c r="DW17" s="2456"/>
      <c r="DX17" s="2456"/>
      <c r="DY17" s="2456"/>
      <c r="DZ17" s="2456"/>
      <c r="EA17" s="2456"/>
      <c r="EB17" s="2456"/>
      <c r="EC17" s="2456"/>
      <c r="ED17" s="2456"/>
      <c r="EE17" s="2456"/>
      <c r="EF17" s="2456"/>
      <c r="EG17" s="2456"/>
      <c r="EH17" s="2456"/>
      <c r="EI17" s="2456"/>
      <c r="EJ17" s="2456"/>
      <c r="EK17" s="2456"/>
      <c r="EL17" s="2456"/>
      <c r="EM17" s="2456"/>
      <c r="EN17" s="2456"/>
      <c r="EO17" s="2456"/>
      <c r="EP17" s="2456"/>
      <c r="EQ17" s="2456"/>
      <c r="ER17" s="2456"/>
      <c r="ES17" s="2456"/>
      <c r="ET17" s="2456"/>
      <c r="EU17" s="2456"/>
      <c r="EV17" s="2456"/>
      <c r="EW17" s="2456"/>
      <c r="EX17" s="2456"/>
      <c r="EY17" s="2456"/>
      <c r="EZ17" s="2456"/>
      <c r="FA17" s="2456"/>
      <c r="FB17" s="2456"/>
      <c r="FC17" s="2456"/>
      <c r="FD17" s="2456"/>
      <c r="FE17" s="2456"/>
      <c r="FF17" s="2456"/>
      <c r="FG17" s="2456"/>
      <c r="FH17" s="2456"/>
      <c r="FI17" s="2456"/>
      <c r="FJ17" s="2456"/>
      <c r="FK17" s="2456"/>
      <c r="FL17" s="2456"/>
      <c r="FM17" s="2456"/>
      <c r="FN17" s="2456"/>
      <c r="FO17" s="2456"/>
      <c r="FP17" s="2456"/>
      <c r="FQ17" s="2456"/>
      <c r="FR17" s="2456"/>
      <c r="FS17" s="2456"/>
      <c r="FT17" s="2456"/>
      <c r="FU17" s="2456"/>
      <c r="FV17" s="2456"/>
      <c r="FW17" s="2462"/>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371</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21">
      <c r="A21" s="1326" t="s">
        <v>1007</v>
      </c>
      <c r="B21" s="942"/>
      <c r="C21" s="927"/>
      <c r="D21" s="927"/>
      <c r="E21" s="941" t="s">
        <v>22</v>
      </c>
      <c r="F21" s="1123" t="str">
        <f>INDEX(IP_MAIN_LIST_NAME_IP,MATCH(A21,IP_MAIN_LIST_IP_ID,0))&amp;" ("&amp;INDEX(IP_MAIN_START_DATE,MATCH(A21,IP_MAIN_LIST_IP_ID,0))&amp;"-"&amp;INDEX(IP_MAIN_END_DATE,MATCH(A21,IP_MAIN_LIST_IP_ID,0))&amp;")"</f>
        <v>Инвестиционная программа от 29.09.2025 МУП "НЕВЕЛЬСКИЕ КОММУНАЛЬНЫЕ СЕТИ" в сфере холодного водоснабжения по модернизации и реконструкции объектов, на территории муниципального округа Невельский на 2026-2028 годы (01.01.2026-31.12.2028)</v>
      </c>
      <c r="G21" s="1205"/>
      <c r="H21" s="1206"/>
      <c r="I21" s="1206"/>
      <c r="J21" s="1206"/>
      <c r="K21" s="1206"/>
      <c r="L21" s="1206"/>
      <c r="M21" s="1206"/>
      <c r="N21" s="1206"/>
      <c r="O21" s="1205"/>
      <c r="P21" s="1205"/>
      <c r="Q21" s="1205"/>
      <c r="R21" s="1205"/>
      <c r="S21" s="1205"/>
      <c r="T21" s="1205"/>
      <c r="U21" s="1207"/>
      <c r="V21" s="1207"/>
      <c r="W21" s="1207"/>
      <c r="X21" s="1207"/>
      <c r="Y21" s="1207"/>
      <c r="Z21" s="1207"/>
      <c r="AA21" s="1207"/>
      <c r="AB21" s="1205"/>
      <c r="AC21" s="1206"/>
      <c r="AD21" s="1206"/>
      <c r="AE21" s="1206"/>
      <c r="AF21" s="1206"/>
      <c r="AG21" s="1206"/>
      <c r="AH21" s="1206"/>
      <c r="AI21" s="1206"/>
      <c r="AJ21" s="1206"/>
      <c r="AK21" s="1206"/>
      <c r="AL21" s="1206"/>
      <c r="AM21" s="1206"/>
      <c r="AN21" s="1206"/>
      <c r="AO21" s="1206"/>
      <c r="AP21" s="1206"/>
      <c r="AQ21" s="1206"/>
      <c r="AR21" s="1206"/>
      <c r="AS21" s="1206"/>
      <c r="AT21" s="1206"/>
      <c r="AU21" s="1206"/>
      <c r="AV21" s="1206"/>
      <c r="AW21" s="1206"/>
      <c r="AX21" s="1206"/>
      <c r="AY21" s="1206"/>
      <c r="AZ21" s="1206"/>
      <c r="BA21" s="1206"/>
      <c r="BB21" s="1206"/>
      <c r="BC21" s="1206"/>
      <c r="BD21" s="1206"/>
      <c r="BE21" s="1206"/>
      <c r="BF21" s="1206"/>
      <c r="BG21" s="1206"/>
      <c r="BH21" s="1206"/>
      <c r="BI21" s="1206"/>
      <c r="BJ21" s="1206"/>
      <c r="BK21" s="1206"/>
      <c r="BL21" s="1206"/>
      <c r="BM21" s="1206"/>
      <c r="BN21" s="1206"/>
      <c r="BO21" s="1206"/>
      <c r="BP21" s="1206"/>
      <c r="BQ21" s="1206"/>
      <c r="BR21" s="1206"/>
      <c r="BS21" s="1206"/>
      <c r="BT21" s="1206"/>
      <c r="BU21" s="1206"/>
      <c r="BV21" s="1206"/>
      <c r="BW21" s="1206"/>
      <c r="BX21" s="1206"/>
      <c r="BY21" s="1206"/>
      <c r="BZ21" s="1206"/>
      <c r="CA21" s="1206"/>
      <c r="CB21" s="1206"/>
      <c r="CC21" s="1206"/>
      <c r="CD21" s="1206"/>
      <c r="CE21" s="1206"/>
      <c r="CF21" s="1206"/>
      <c r="CG21" s="1206"/>
      <c r="CH21" s="1206"/>
      <c r="CI21" s="1206"/>
      <c r="CJ21" s="1206"/>
      <c r="CK21" s="1206"/>
      <c r="CL21" s="1208"/>
      <c r="CM21" s="1208"/>
      <c r="CN21" s="1208"/>
      <c r="CO21" s="1208"/>
      <c r="CP21" s="1208"/>
      <c r="CQ21" s="1208"/>
      <c r="CR21" s="1208"/>
      <c r="CS21" s="1208"/>
      <c r="CT21" s="1208"/>
      <c r="CU21" s="1208"/>
      <c r="CV21" s="1208"/>
      <c r="CW21" s="1208"/>
      <c r="CX21" s="1208"/>
      <c r="CY21" s="1208"/>
      <c r="CZ21" s="1208"/>
      <c r="DA21" s="1208"/>
      <c r="DB21" s="1208"/>
      <c r="DC21" s="1208"/>
      <c r="DD21" s="1208"/>
      <c r="DE21" s="1208"/>
      <c r="DF21" s="1208"/>
      <c r="DG21" s="1208"/>
      <c r="DH21" s="1208"/>
      <c r="DI21" s="1208"/>
      <c r="DJ21" s="1208"/>
      <c r="DK21" s="1208"/>
      <c r="DL21" s="1208"/>
      <c r="DM21" s="1208"/>
      <c r="DN21" s="1208"/>
      <c r="DO21" s="1208"/>
      <c r="DP21" s="1208"/>
      <c r="DQ21" s="1208"/>
      <c r="DR21" s="1208"/>
      <c r="DS21" s="1208"/>
      <c r="DT21" s="1208"/>
      <c r="DU21" s="1208"/>
      <c r="DV21" s="1208"/>
      <c r="DW21" s="1208"/>
      <c r="DX21" s="1208"/>
      <c r="DY21" s="1208"/>
      <c r="DZ21" s="1208"/>
      <c r="EA21" s="1208"/>
      <c r="EB21" s="1208"/>
      <c r="EC21" s="1208"/>
      <c r="ED21" s="1208"/>
      <c r="EE21" s="1208"/>
      <c r="EF21" s="1208"/>
      <c r="EG21" s="1208"/>
      <c r="EH21" s="1208"/>
      <c r="EI21" s="1208"/>
      <c r="EJ21" s="1208"/>
      <c r="EK21" s="1208"/>
      <c r="EL21" s="1208"/>
      <c r="EM21" s="1208"/>
      <c r="EN21" s="1208"/>
      <c r="EO21" s="1208"/>
      <c r="EP21" s="1208"/>
      <c r="EQ21" s="1208"/>
      <c r="ER21" s="1208"/>
      <c r="ES21" s="1208"/>
      <c r="ET21" s="1208"/>
      <c r="EU21" s="1208"/>
      <c r="EV21" s="1208"/>
      <c r="EW21" s="1208"/>
      <c r="EX21" s="1208"/>
      <c r="EY21" s="1208"/>
      <c r="EZ21" s="1208"/>
      <c r="FA21" s="1208"/>
      <c r="FB21" s="1208"/>
      <c r="FC21" s="1208"/>
      <c r="FD21" s="1208"/>
      <c r="FE21" s="1208"/>
      <c r="FF21" s="1208"/>
      <c r="FG21" s="1208"/>
      <c r="FH21" s="1208"/>
      <c r="FI21" s="1208"/>
      <c r="FJ21" s="1208"/>
      <c r="FK21" s="1208"/>
      <c r="FL21" s="1208"/>
      <c r="FM21" s="1208"/>
      <c r="FN21" s="1208"/>
      <c r="FO21" s="1208"/>
      <c r="FP21" s="1208"/>
      <c r="FQ21" s="1208"/>
      <c r="FR21" s="1208"/>
      <c r="FS21" s="1208"/>
      <c r="FT21" s="1208"/>
      <c r="FU21" s="1208"/>
      <c r="FV21" s="1209"/>
      <c r="FW21" s="1203"/>
      <c r="FX21" s="1204"/>
      <c r="FY21" s="927"/>
      <c r="FZ21" s="927"/>
      <c r="GA21" s="927"/>
      <c r="GB21" s="927"/>
    </row>
    <row s="927" customFormat="1" customHeight="1" ht="65.83333333333333">
      <c r="A22" s="927" t="s">
        <v>1007</v>
      </c>
      <c r="B22" s="942"/>
      <c r="C22" s="927"/>
      <c r="D22" s="927"/>
      <c r="E22" s="1849"/>
      <c r="F22" s="2414">
        <v>1</v>
      </c>
      <c r="G22" s="2582" t="s">
        <v>996</v>
      </c>
      <c r="H22" s="1212" t="s">
        <v>1163</v>
      </c>
      <c r="I22" s="1981" t="s">
        <v>1164</v>
      </c>
      <c r="J22" s="1213"/>
      <c r="K22" s="1213"/>
      <c r="L22" s="1213"/>
      <c r="M22" s="1213"/>
      <c r="N22" s="1213"/>
      <c r="O22" s="1214"/>
      <c r="P22" s="1214"/>
      <c r="Q22" s="1214"/>
      <c r="R22" s="1214"/>
      <c r="S22" s="1214"/>
      <c r="T22" s="1214"/>
      <c r="U22" s="1214"/>
      <c r="V22" s="1214"/>
      <c r="W22" s="1214"/>
      <c r="X22" s="1214"/>
      <c r="Y22" s="1214"/>
      <c r="Z22" s="1214"/>
      <c r="AA22" s="1214"/>
      <c r="AB22" s="1214"/>
      <c r="AC22" s="1213"/>
      <c r="AD22" s="1213"/>
      <c r="AE22" s="1213"/>
      <c r="AF22" s="1213"/>
      <c r="AG22" s="1213"/>
      <c r="AH22" s="1213"/>
      <c r="AI22" s="1213"/>
      <c r="AJ22" s="1213"/>
      <c r="AK22" s="1213"/>
      <c r="AL22" s="1213"/>
      <c r="AM22" s="1213"/>
      <c r="AN22" s="1213"/>
      <c r="AO22" s="1213"/>
      <c r="AP22" s="1213"/>
      <c r="AQ22" s="1213"/>
      <c r="AR22" s="1213"/>
      <c r="AS22" s="1213"/>
      <c r="AT22" s="1213"/>
      <c r="AU22" s="1213"/>
      <c r="AV22" s="1213"/>
      <c r="AW22" s="1213"/>
      <c r="AX22" s="1213"/>
      <c r="AY22" s="1213"/>
      <c r="AZ22" s="1213"/>
      <c r="BA22" s="1213"/>
      <c r="BB22" s="1213"/>
      <c r="BC22" s="1213"/>
      <c r="BD22" s="1213"/>
      <c r="BE22" s="1213"/>
      <c r="BF22" s="1213"/>
      <c r="BG22" s="1213"/>
      <c r="BH22" s="1213"/>
      <c r="BI22" s="1213"/>
      <c r="BJ22" s="1213"/>
      <c r="BK22" s="1213"/>
      <c r="BL22" s="1213"/>
      <c r="BM22" s="1213"/>
      <c r="BN22" s="1213"/>
      <c r="BO22" s="1213"/>
      <c r="BP22" s="1213"/>
      <c r="BQ22" s="1213"/>
      <c r="BR22" s="1213"/>
      <c r="BS22" s="1213"/>
      <c r="BT22" s="1214">
        <v>0</v>
      </c>
      <c r="BU22" s="1214"/>
      <c r="BV22" s="1214">
        <v>0</v>
      </c>
      <c r="BW22" s="1214"/>
      <c r="BX22" s="1214"/>
      <c r="BY22" s="1214"/>
      <c r="BZ22" s="1214"/>
      <c r="CA22" s="1214"/>
      <c r="CB22" s="1214">
        <v>0</v>
      </c>
      <c r="CC22" s="1214"/>
      <c r="CD22" s="1214">
        <v>12.51</v>
      </c>
      <c r="CE22" s="1214"/>
      <c r="CF22" s="1214"/>
      <c r="CG22" s="1214"/>
      <c r="CH22" s="1214">
        <v>2.288</v>
      </c>
      <c r="CI22" s="1214"/>
      <c r="CJ22" s="1214">
        <v>0.567</v>
      </c>
      <c r="CK22" s="1214"/>
      <c r="CL22" s="1213"/>
      <c r="CM22" s="1213"/>
      <c r="CN22" s="1213"/>
      <c r="CO22" s="1213"/>
      <c r="CP22" s="1213"/>
      <c r="CQ22" s="1213"/>
      <c r="CR22" s="1213"/>
      <c r="CS22" s="1213"/>
      <c r="CT22" s="1213"/>
      <c r="CU22" s="1213"/>
      <c r="CV22" s="1213"/>
      <c r="CW22" s="1213"/>
      <c r="CX22" s="1213"/>
      <c r="CY22" s="1214"/>
      <c r="CZ22" s="1214"/>
      <c r="DA22" s="1214"/>
      <c r="DB22" s="1214"/>
      <c r="DC22" s="1214"/>
      <c r="DD22" s="1214"/>
      <c r="DE22" s="1214"/>
      <c r="DF22" s="1214"/>
      <c r="DG22" s="1214"/>
      <c r="DH22" s="1214"/>
      <c r="DI22" s="1214"/>
      <c r="DJ22" s="1214"/>
      <c r="DK22" s="1213"/>
      <c r="DL22" s="1213"/>
      <c r="DM22" s="1213"/>
      <c r="DN22" s="1213"/>
      <c r="DO22" s="1213"/>
      <c r="DP22" s="1213"/>
      <c r="DQ22" s="1213"/>
      <c r="DR22" s="1213"/>
      <c r="DS22" s="1213"/>
      <c r="DT22" s="1213"/>
      <c r="DU22" s="1213"/>
      <c r="DV22" s="1213"/>
      <c r="DW22" s="1213"/>
      <c r="DX22" s="1213"/>
      <c r="DY22" s="1213"/>
      <c r="DZ22" s="1213"/>
      <c r="EA22" s="1213"/>
      <c r="EB22" s="1213"/>
      <c r="EC22" s="1213"/>
      <c r="ED22" s="1213"/>
      <c r="EE22" s="1213"/>
      <c r="EF22" s="1213"/>
      <c r="EG22" s="1213"/>
      <c r="EH22" s="1213"/>
      <c r="EI22" s="1213"/>
      <c r="EJ22" s="1213"/>
      <c r="EK22" s="1213"/>
      <c r="EL22" s="1213"/>
      <c r="EM22" s="1213"/>
      <c r="EN22" s="1213"/>
      <c r="EO22" s="1213"/>
      <c r="EP22" s="1213"/>
      <c r="EQ22" s="1213"/>
      <c r="ER22" s="1213"/>
      <c r="ES22" s="1213"/>
      <c r="ET22" s="1213"/>
      <c r="EU22" s="1213"/>
      <c r="EV22" s="1213"/>
      <c r="EW22" s="1213"/>
      <c r="EX22" s="1213"/>
      <c r="EY22" s="1213"/>
      <c r="EZ22" s="1213"/>
      <c r="FA22" s="1213"/>
      <c r="FB22" s="1213"/>
      <c r="FC22" s="1213"/>
      <c r="FD22" s="1213"/>
      <c r="FE22" s="1213"/>
      <c r="FF22" s="1213"/>
      <c r="FG22" s="1213"/>
      <c r="FH22" s="1213"/>
      <c r="FI22" s="1213"/>
      <c r="FJ22" s="1213"/>
      <c r="FK22" s="1213"/>
      <c r="FL22" s="1213"/>
      <c r="FM22" s="1213"/>
      <c r="FN22" s="1213"/>
      <c r="FO22" s="1213"/>
      <c r="FP22" s="1213"/>
      <c r="FQ22" s="1213"/>
      <c r="FR22" s="1213"/>
      <c r="FS22" s="1213"/>
      <c r="FT22" s="1213"/>
      <c r="FU22" s="1213"/>
      <c r="FV22" s="1213"/>
      <c r="FW22" s="1213"/>
      <c r="FX22" s="1204"/>
      <c r="FY22" s="927"/>
      <c r="FZ22" s="927"/>
      <c r="GA22" s="927"/>
      <c r="GB22" s="927"/>
    </row>
    <row s="927" customFormat="1" customHeight="1" ht="12">
      <c r="A23" s="927" t="s">
        <v>1007</v>
      </c>
      <c r="B23" s="942"/>
      <c r="C23" s="927"/>
      <c r="D23" s="927"/>
      <c r="E23" s="927"/>
      <c r="F23" s="2659"/>
      <c r="G23" s="2660" t="s">
        <v>1165</v>
      </c>
      <c r="H23" s="2661"/>
      <c r="I23" s="2662"/>
      <c r="J23" s="2663"/>
      <c r="K23" s="2664"/>
      <c r="L23" s="2665"/>
      <c r="M23" s="2666"/>
      <c r="N23" s="2667"/>
      <c r="O23" s="2668"/>
      <c r="P23" s="2669"/>
      <c r="Q23" s="2670"/>
      <c r="R23" s="2671"/>
      <c r="S23" s="2672"/>
      <c r="T23" s="2673"/>
      <c r="U23" s="2674"/>
      <c r="V23" s="2675"/>
      <c r="W23" s="2676"/>
      <c r="X23" s="2677"/>
      <c r="Y23" s="2678"/>
      <c r="Z23" s="2679"/>
      <c r="AA23" s="2680"/>
      <c r="AB23" s="2681"/>
      <c r="AC23" s="2682"/>
      <c r="AD23" s="2683"/>
      <c r="AE23" s="2684"/>
      <c r="AF23" s="2685"/>
      <c r="AG23" s="2686"/>
      <c r="AH23" s="2687"/>
      <c r="AI23" s="2688"/>
      <c r="AJ23" s="2689"/>
      <c r="AK23" s="2690"/>
      <c r="AL23" s="2691"/>
      <c r="AM23" s="2692"/>
      <c r="AN23" s="2693"/>
      <c r="AO23" s="2694"/>
      <c r="AP23" s="2695"/>
      <c r="AQ23" s="2696"/>
      <c r="AR23" s="2697"/>
      <c r="AS23" s="2698"/>
      <c r="AT23" s="2699"/>
      <c r="AU23" s="2700"/>
      <c r="AV23" s="2701"/>
      <c r="AW23" s="2702"/>
      <c r="AX23" s="2703"/>
      <c r="AY23" s="2704"/>
      <c r="AZ23" s="2705"/>
      <c r="BA23" s="2706"/>
      <c r="BB23" s="2707"/>
      <c r="BC23" s="2708"/>
      <c r="BD23" s="2709"/>
      <c r="BE23" s="2710"/>
      <c r="BF23" s="2711"/>
      <c r="BG23" s="2712"/>
      <c r="BH23" s="2713"/>
      <c r="BI23" s="2714"/>
      <c r="BJ23" s="2715"/>
      <c r="BK23" s="2716"/>
      <c r="BL23" s="2717"/>
      <c r="BM23" s="2718"/>
      <c r="BN23" s="2719"/>
      <c r="BO23" s="2720"/>
      <c r="BP23" s="2721"/>
      <c r="BQ23" s="2722"/>
      <c r="BR23" s="2723"/>
      <c r="BS23" s="2724"/>
      <c r="BT23" s="2725"/>
      <c r="BU23" s="2726"/>
      <c r="BV23" s="2727"/>
      <c r="BW23" s="2728"/>
      <c r="BX23" s="2729"/>
      <c r="BY23" s="2730"/>
      <c r="BZ23" s="2731"/>
      <c r="CA23" s="2732"/>
      <c r="CB23" s="2733"/>
      <c r="CC23" s="2734"/>
      <c r="CD23" s="2735"/>
      <c r="CE23" s="2736"/>
      <c r="CF23" s="2737"/>
      <c r="CG23" s="2738"/>
      <c r="CH23" s="2739"/>
      <c r="CI23" s="2740"/>
      <c r="CJ23" s="2741"/>
      <c r="CK23" s="2742"/>
      <c r="CL23" s="2743"/>
      <c r="CM23" s="2744"/>
      <c r="CN23" s="2745"/>
      <c r="CO23" s="2746"/>
      <c r="CP23" s="2747"/>
      <c r="CQ23" s="2748"/>
      <c r="CR23" s="2749"/>
      <c r="CS23" s="2750"/>
      <c r="CT23" s="2751"/>
      <c r="CU23" s="2752"/>
      <c r="CV23" s="2753"/>
      <c r="CW23" s="2754"/>
      <c r="CX23" s="2755"/>
      <c r="CY23" s="2756"/>
      <c r="CZ23" s="2757"/>
      <c r="DA23" s="2758"/>
      <c r="DB23" s="2759"/>
      <c r="DC23" s="2760"/>
      <c r="DD23" s="2761"/>
      <c r="DE23" s="2762"/>
      <c r="DF23" s="2763"/>
      <c r="DG23" s="2764"/>
      <c r="DH23" s="2765"/>
      <c r="DI23" s="2766"/>
      <c r="DJ23" s="2767"/>
      <c r="DK23" s="2768"/>
      <c r="DL23" s="2769"/>
      <c r="DM23" s="2770"/>
      <c r="DN23" s="2771"/>
      <c r="DO23" s="2772"/>
      <c r="DP23" s="2773"/>
      <c r="DQ23" s="2774"/>
      <c r="DR23" s="2775"/>
      <c r="DS23" s="2776"/>
      <c r="DT23" s="2777"/>
      <c r="DU23" s="2778"/>
      <c r="DV23" s="2779"/>
      <c r="DW23" s="2780"/>
      <c r="DX23" s="2781"/>
      <c r="DY23" s="2782"/>
      <c r="DZ23" s="2783"/>
      <c r="EA23" s="2784"/>
      <c r="EB23" s="2785"/>
      <c r="EC23" s="2786"/>
      <c r="ED23" s="2787"/>
      <c r="EE23" s="2788"/>
      <c r="EF23" s="2789"/>
      <c r="EG23" s="2790"/>
      <c r="EH23" s="2791"/>
      <c r="EI23" s="2792"/>
      <c r="EJ23" s="2793"/>
      <c r="EK23" s="2794"/>
      <c r="EL23" s="2795"/>
      <c r="EM23" s="2796"/>
      <c r="EN23" s="2797"/>
      <c r="EO23" s="2798"/>
      <c r="EP23" s="2799"/>
      <c r="EQ23" s="2800"/>
      <c r="ER23" s="2801"/>
      <c r="ES23" s="2802"/>
      <c r="ET23" s="2803"/>
      <c r="EU23" s="2804"/>
      <c r="EV23" s="2805"/>
      <c r="EW23" s="2806"/>
      <c r="EX23" s="2807"/>
      <c r="EY23" s="2808"/>
      <c r="EZ23" s="2809"/>
      <c r="FA23" s="2810"/>
      <c r="FB23" s="2811"/>
      <c r="FC23" s="2812"/>
      <c r="FD23" s="2813"/>
      <c r="FE23" s="2814"/>
      <c r="FF23" s="2815"/>
      <c r="FG23" s="2816"/>
      <c r="FH23" s="2817"/>
      <c r="FI23" s="2818"/>
      <c r="FJ23" s="2819"/>
      <c r="FK23" s="2820"/>
      <c r="FL23" s="2821"/>
      <c r="FM23" s="2822"/>
      <c r="FN23" s="2823"/>
      <c r="FO23" s="2824"/>
      <c r="FP23" s="2825"/>
      <c r="FQ23" s="2826"/>
      <c r="FR23" s="2827"/>
      <c r="FS23" s="2828"/>
      <c r="FT23" s="2829"/>
      <c r="FU23" s="2830"/>
      <c r="FV23" s="2831"/>
      <c r="FW23" s="2832"/>
      <c r="FX23" s="1824"/>
      <c r="FY23" s="1064"/>
      <c r="FZ23" s="1064"/>
      <c r="GA23" s="1064"/>
      <c r="GB23" s="1064"/>
    </row>
    <row s="927" customFormat="1" customHeight="1" ht="12.75">
      <c r="A24" s="943"/>
      <c r="B24" s="943"/>
      <c r="C24" s="943"/>
      <c r="D24" s="943"/>
      <c r="E24" s="943"/>
      <c r="F24" s="941"/>
      <c r="G24" s="941"/>
      <c r="H24" s="941"/>
      <c r="I24" s="941"/>
      <c r="J24" s="941"/>
      <c r="K24" s="941"/>
      <c r="L24" s="941"/>
      <c r="M24" s="941"/>
      <c r="N24" s="941"/>
      <c r="O24" s="941"/>
      <c r="P24" s="941"/>
      <c r="Q24" s="941"/>
      <c r="R24" s="941"/>
      <c r="S24" s="944"/>
      <c r="T24" s="944"/>
      <c r="U24" s="941"/>
      <c r="V24" s="941"/>
      <c r="W24" s="941"/>
      <c r="X24" s="941"/>
      <c r="Y24" s="941"/>
      <c r="Z24" s="941"/>
      <c r="AA24" s="941"/>
      <c r="AB24" s="941"/>
      <c r="AC24" s="941"/>
      <c r="AD24" s="941"/>
      <c r="AE24" s="941"/>
      <c r="AF24" s="941"/>
      <c r="AG24" s="941"/>
      <c r="AH24" s="941"/>
      <c r="AI24" s="941"/>
      <c r="AJ24" s="941"/>
      <c r="AK24" s="941"/>
      <c r="AL24" s="941"/>
      <c r="AM24" s="941"/>
      <c r="AN24" s="941"/>
      <c r="AO24" s="941"/>
      <c r="AP24" s="941"/>
      <c r="AQ24" s="941"/>
      <c r="AR24" s="941"/>
      <c r="AS24" s="941"/>
      <c r="AT24" s="941"/>
      <c r="AU24" s="941"/>
      <c r="AV24" s="941"/>
      <c r="AW24" s="941"/>
      <c r="AX24" s="941"/>
      <c r="AY24" s="941"/>
      <c r="AZ24" s="941"/>
      <c r="BA24" s="941"/>
      <c r="BB24" s="941"/>
      <c r="BC24" s="941"/>
      <c r="BD24" s="941"/>
      <c r="BE24" s="941"/>
      <c r="BF24" s="941"/>
      <c r="BG24" s="941"/>
      <c r="BH24" s="941"/>
      <c r="BI24" s="941"/>
      <c r="BJ24" s="941"/>
      <c r="BK24" s="941"/>
      <c r="BL24" s="941"/>
      <c r="BM24" s="941"/>
      <c r="BN24" s="941"/>
      <c r="BO24" s="941"/>
      <c r="BP24" s="941"/>
      <c r="BQ24" s="941"/>
      <c r="BR24" s="941"/>
      <c r="BS24" s="941"/>
      <c r="BT24" s="941"/>
      <c r="BU24" s="941"/>
      <c r="BV24" s="941"/>
      <c r="BW24" s="941"/>
      <c r="BX24" s="941"/>
      <c r="BY24" s="941"/>
      <c r="BZ24" s="941"/>
      <c r="CA24" s="941"/>
      <c r="CB24" s="941"/>
      <c r="CC24" s="941"/>
      <c r="CD24" s="941"/>
      <c r="CE24" s="941"/>
      <c r="CF24" s="941"/>
      <c r="CG24" s="941"/>
      <c r="CH24" s="941"/>
      <c r="CI24" s="941"/>
      <c r="CJ24" s="941"/>
      <c r="CK24" s="941"/>
      <c r="CL24" s="941"/>
      <c r="CM24" s="941"/>
      <c r="CN24" s="941"/>
      <c r="CO24" s="941"/>
      <c r="CP24" s="941"/>
      <c r="CQ24" s="941"/>
      <c r="CR24" s="941"/>
      <c r="CS24" s="941"/>
      <c r="CT24" s="941"/>
      <c r="CU24" s="941"/>
      <c r="CV24" s="941"/>
      <c r="CW24" s="941"/>
      <c r="CX24" s="941"/>
      <c r="CY24" s="941"/>
      <c r="CZ24" s="941"/>
      <c r="DA24" s="941"/>
      <c r="DB24" s="941"/>
      <c r="DC24" s="941"/>
      <c r="DD24" s="941"/>
      <c r="DE24" s="941"/>
      <c r="DF24" s="941"/>
      <c r="DG24" s="941"/>
      <c r="DH24" s="941"/>
      <c r="DI24" s="941"/>
      <c r="DJ24" s="941"/>
      <c r="DK24" s="941"/>
      <c r="DL24" s="941"/>
      <c r="DM24" s="941"/>
      <c r="DN24" s="941"/>
      <c r="DO24" s="941"/>
      <c r="DP24" s="941"/>
      <c r="DQ24" s="941"/>
      <c r="DR24" s="941"/>
      <c r="DS24" s="941"/>
      <c r="DT24" s="941"/>
      <c r="DU24" s="941"/>
      <c r="DV24" s="941"/>
      <c r="DW24" s="941"/>
      <c r="DX24" s="941"/>
      <c r="DY24" s="941"/>
      <c r="DZ24" s="941"/>
      <c r="EA24" s="941"/>
      <c r="EB24" s="941"/>
      <c r="EC24" s="941"/>
      <c r="ED24" s="941"/>
      <c r="EE24" s="941"/>
      <c r="EF24" s="941"/>
      <c r="EG24" s="941"/>
      <c r="EH24" s="941"/>
      <c r="EI24" s="941"/>
      <c r="EJ24" s="941"/>
      <c r="EK24" s="941"/>
      <c r="EL24" s="941"/>
      <c r="EM24" s="941"/>
      <c r="EN24" s="941"/>
      <c r="EO24" s="941"/>
      <c r="EP24" s="941"/>
      <c r="EQ24" s="941"/>
      <c r="ER24" s="941"/>
      <c r="ES24" s="941"/>
      <c r="ET24" s="941"/>
      <c r="EU24" s="941"/>
      <c r="EV24" s="941"/>
      <c r="EW24" s="941"/>
      <c r="EX24" s="941"/>
      <c r="EY24" s="941"/>
      <c r="EZ24" s="941"/>
      <c r="FA24" s="941"/>
      <c r="FB24" s="941"/>
      <c r="FC24" s="941"/>
      <c r="FD24" s="941"/>
      <c r="FE24" s="941"/>
      <c r="FF24" s="941"/>
      <c r="FG24" s="941"/>
      <c r="FH24" s="941"/>
      <c r="FI24" s="941"/>
      <c r="FJ24" s="941"/>
      <c r="FK24" s="941"/>
      <c r="FL24" s="941"/>
      <c r="FM24" s="941"/>
      <c r="FN24" s="941"/>
      <c r="FO24" s="941"/>
      <c r="FP24" s="941"/>
      <c r="FQ24" s="941"/>
      <c r="FR24" s="941"/>
      <c r="FS24" s="941"/>
      <c r="FT24" s="941"/>
      <c r="FU24" s="941"/>
      <c r="FV24" s="941"/>
      <c r="FW24" s="941"/>
      <c r="FX24" s="943"/>
      <c r="FY24" s="943"/>
      <c r="FZ24" s="943"/>
      <c r="GA24" s="943"/>
      <c r="GB24" s="943"/>
      <c r="GC24" s="924">
        <v>12</v>
      </c>
    </row>
    <row s="927" customFormat="1" customHeight="1" ht="12.75">
      <c r="A25" s="943"/>
      <c r="B25" s="943"/>
      <c r="C25" s="943"/>
      <c r="D25" s="943"/>
      <c r="E25" s="943"/>
      <c r="FX25" s="943"/>
      <c r="FY25" s="943"/>
      <c r="FZ25" s="943"/>
      <c r="GA25" s="943"/>
      <c r="GB25" s="943"/>
      <c r="GC25" s="924">
        <v>12</v>
      </c>
    </row>
    <row s="1065" customFormat="1" customHeight="1" ht="12.75">
      <c r="A26" s="1064"/>
      <c r="B26" s="1064"/>
      <c r="C26" s="1064"/>
      <c r="D26" s="1064"/>
      <c r="E26" s="1064"/>
      <c r="O26" s="1066"/>
      <c r="P26" s="1066"/>
      <c r="Q26" s="1066"/>
      <c r="R26" s="1066"/>
      <c r="S26" s="1066"/>
      <c r="T26" s="1066"/>
      <c r="U26" s="1066"/>
      <c r="V26" s="1066"/>
      <c r="W26" s="1066"/>
      <c r="X26" s="1066"/>
      <c r="Y26" s="1066"/>
      <c r="Z26" s="1066"/>
      <c r="AA26" s="1066"/>
      <c r="AB26" s="1066"/>
      <c r="AC26" s="1066"/>
      <c r="AD26" s="1066"/>
      <c r="AE26" s="1066"/>
      <c r="AF26" s="1066"/>
      <c r="AG26" s="1066"/>
      <c r="AH26" s="1066"/>
      <c r="AI26" s="1066"/>
      <c r="AJ26" s="1066"/>
      <c r="AK26" s="1066"/>
      <c r="AL26" s="1066"/>
      <c r="AM26" s="1066"/>
      <c r="AN26" s="1066"/>
      <c r="AO26" s="1066"/>
      <c r="AP26" s="1066"/>
      <c r="AQ26" s="1066"/>
      <c r="AR26" s="1066"/>
      <c r="AS26" s="1066"/>
      <c r="AT26" s="1066"/>
      <c r="AU26" s="1066"/>
      <c r="AV26" s="1066"/>
      <c r="AW26" s="1066"/>
      <c r="AX26" s="1066"/>
      <c r="AY26" s="1066"/>
      <c r="AZ26" s="1066"/>
      <c r="BA26" s="1066"/>
      <c r="BB26" s="1066"/>
      <c r="BC26" s="1066"/>
      <c r="BD26" s="1066"/>
      <c r="BE26" s="1066"/>
      <c r="BF26" s="1066"/>
      <c r="BG26" s="1066"/>
      <c r="BH26" s="1066"/>
      <c r="BI26" s="1066"/>
      <c r="BJ26" s="1066"/>
      <c r="BK26" s="1066"/>
      <c r="BL26" s="1066"/>
      <c r="BM26" s="1066"/>
      <c r="BN26" s="1066"/>
      <c r="BO26" s="1066"/>
      <c r="BP26" s="1066"/>
      <c r="BQ26" s="1066"/>
      <c r="BR26" s="1066"/>
      <c r="BS26" s="1066"/>
      <c r="BT26" s="1067"/>
      <c r="BU26" s="1067"/>
      <c r="BV26" s="1067"/>
      <c r="BW26" s="1067"/>
      <c r="BX26" s="1067"/>
      <c r="BY26" s="1067"/>
      <c r="BZ26" s="1067"/>
      <c r="CA26" s="1067"/>
      <c r="CB26" s="1067"/>
      <c r="CC26" s="1067"/>
      <c r="CD26" s="1067"/>
      <c r="CE26" s="1067"/>
      <c r="CF26" s="1067"/>
      <c r="CG26" s="1067"/>
      <c r="CH26" s="1067"/>
      <c r="CI26" s="1067"/>
      <c r="CJ26" s="1067"/>
      <c r="CK26" s="1067"/>
      <c r="CL26" s="1067"/>
      <c r="CM26" s="1067"/>
      <c r="CN26" s="1067"/>
      <c r="CO26" s="1067"/>
      <c r="CP26" s="1067"/>
      <c r="CQ26" s="1067"/>
      <c r="CR26" s="1067"/>
      <c r="CS26" s="1067"/>
      <c r="CT26" s="1067"/>
      <c r="CU26" s="1067"/>
      <c r="CV26" s="1067"/>
      <c r="CW26" s="1067"/>
      <c r="CX26" s="1067"/>
      <c r="CY26" s="1067"/>
      <c r="CZ26" s="1067"/>
      <c r="DA26" s="1067"/>
      <c r="DB26" s="1067"/>
      <c r="DC26" s="1067"/>
      <c r="DD26" s="1067"/>
      <c r="DE26" s="1067"/>
      <c r="DF26" s="1067"/>
      <c r="DG26" s="1067"/>
      <c r="DH26" s="1067"/>
      <c r="DI26" s="1067"/>
      <c r="DJ26" s="1067"/>
      <c r="DK26" s="1067"/>
      <c r="DL26" s="1067"/>
      <c r="DM26" s="1067"/>
      <c r="DN26" s="1067"/>
      <c r="DO26" s="1067"/>
      <c r="DP26" s="1067"/>
      <c r="DQ26" s="1067"/>
      <c r="DR26" s="1067"/>
      <c r="DS26" s="1067"/>
      <c r="DT26" s="1067"/>
      <c r="DU26" s="1067"/>
      <c r="DV26" s="1067"/>
      <c r="DW26" s="1067"/>
      <c r="DX26" s="1067"/>
      <c r="FX26" s="1064"/>
      <c r="FY26" s="1064"/>
      <c r="FZ26" s="1064"/>
      <c r="GA26" s="1064"/>
      <c r="GB26" s="1064"/>
      <c r="GC26" s="1065">
        <v>12</v>
      </c>
    </row>
    <row customHeight="1" ht="12.75">
      <c r="S27" s="940"/>
      <c r="T27" s="940"/>
      <c r="U27" s="940"/>
      <c r="V27" s="940"/>
      <c r="W27" s="940"/>
      <c r="X27" s="940"/>
      <c r="Y27" s="940"/>
      <c r="Z27" s="940"/>
      <c r="AA27" s="940"/>
      <c r="AB27" s="940"/>
      <c r="FX27" s="940"/>
      <c r="FY27" s="940"/>
      <c r="FZ27" s="940"/>
      <c r="GA27" s="940"/>
      <c r="GB27" s="940"/>
      <c r="GC27" s="928">
        <v>12</v>
      </c>
    </row>
    <row customHeight="1" ht="12" hidden="1">
      <c r="A28" s="928" t="s">
        <v>82</v>
      </c>
      <c r="B28" s="938">
        <v>0</v>
      </c>
      <c r="C28" s="928">
        <v>0</v>
      </c>
      <c r="D28" s="928">
        <v>0</v>
      </c>
      <c r="E28" s="928">
        <v>3</v>
      </c>
      <c r="F28" s="928">
        <v>6</v>
      </c>
      <c r="G28" s="928">
        <v>18</v>
      </c>
      <c r="H28" s="928">
        <v>27</v>
      </c>
      <c r="I28" s="928">
        <v>18</v>
      </c>
      <c r="J28" s="928">
        <v>0</v>
      </c>
      <c r="K28" s="928">
        <v>0</v>
      </c>
      <c r="L28" s="928">
        <v>0</v>
      </c>
      <c r="M28" s="928">
        <v>0</v>
      </c>
      <c r="N28" s="928">
        <v>0</v>
      </c>
      <c r="O28" s="928">
        <v>0</v>
      </c>
      <c r="P28" s="928">
        <v>0</v>
      </c>
      <c r="Q28" s="928">
        <v>0</v>
      </c>
      <c r="R28" s="928">
        <v>0</v>
      </c>
      <c r="S28" s="928">
        <v>0</v>
      </c>
      <c r="T28" s="928">
        <v>0</v>
      </c>
      <c r="U28" s="928">
        <v>0</v>
      </c>
      <c r="V28" s="928">
        <v>0</v>
      </c>
      <c r="W28" s="928">
        <v>0</v>
      </c>
      <c r="X28" s="928">
        <v>0</v>
      </c>
      <c r="Y28" s="928">
        <v>0</v>
      </c>
      <c r="Z28" s="928">
        <v>0</v>
      </c>
      <c r="AA28" s="928">
        <v>0</v>
      </c>
      <c r="AB28" s="928">
        <v>0</v>
      </c>
      <c r="AC28" s="928">
        <v>0</v>
      </c>
      <c r="AD28" s="928">
        <v>0</v>
      </c>
      <c r="AE28" s="928">
        <v>0</v>
      </c>
      <c r="AF28" s="928">
        <v>0</v>
      </c>
      <c r="AG28" s="928">
        <v>0</v>
      </c>
      <c r="AH28" s="928">
        <v>0</v>
      </c>
      <c r="AI28" s="928">
        <v>0</v>
      </c>
      <c r="AJ28" s="928">
        <v>0</v>
      </c>
      <c r="AK28" s="928">
        <v>0</v>
      </c>
      <c r="AL28" s="928">
        <v>0</v>
      </c>
      <c r="AM28" s="928">
        <v>0</v>
      </c>
      <c r="AN28" s="928">
        <v>0</v>
      </c>
      <c r="AO28" s="928">
        <v>0</v>
      </c>
      <c r="AP28" s="928">
        <v>0</v>
      </c>
      <c r="AQ28" s="928">
        <v>0</v>
      </c>
      <c r="AR28" s="928">
        <v>0</v>
      </c>
      <c r="AS28" s="928">
        <v>0</v>
      </c>
      <c r="AT28" s="928">
        <v>0</v>
      </c>
      <c r="AU28" s="928">
        <v>0</v>
      </c>
      <c r="AV28" s="928">
        <v>0</v>
      </c>
      <c r="AW28" s="928">
        <v>0</v>
      </c>
      <c r="AX28" s="928">
        <v>0</v>
      </c>
      <c r="AY28" s="928">
        <v>0</v>
      </c>
      <c r="AZ28" s="928">
        <v>0</v>
      </c>
      <c r="BA28" s="928">
        <v>0</v>
      </c>
      <c r="BB28" s="928">
        <v>0</v>
      </c>
      <c r="BC28" s="928">
        <v>0</v>
      </c>
      <c r="BD28" s="928">
        <v>0</v>
      </c>
      <c r="BE28" s="928">
        <v>0</v>
      </c>
      <c r="BF28" s="928">
        <v>0</v>
      </c>
      <c r="BG28" s="928">
        <v>0</v>
      </c>
      <c r="BH28" s="928">
        <v>0</v>
      </c>
      <c r="BI28" s="928">
        <v>0</v>
      </c>
      <c r="BJ28" s="928">
        <v>0</v>
      </c>
      <c r="BK28" s="928">
        <v>0</v>
      </c>
      <c r="BL28" s="928">
        <v>0</v>
      </c>
      <c r="BM28" s="928">
        <v>0</v>
      </c>
      <c r="BN28" s="928">
        <v>0</v>
      </c>
      <c r="BO28" s="928">
        <v>0</v>
      </c>
      <c r="BP28" s="928">
        <v>0</v>
      </c>
      <c r="BQ28" s="928">
        <v>0</v>
      </c>
      <c r="BR28" s="928">
        <v>0</v>
      </c>
      <c r="BS28" s="928">
        <v>0</v>
      </c>
      <c r="BT28" s="928">
        <v>0</v>
      </c>
      <c r="BU28" s="928">
        <v>0</v>
      </c>
      <c r="BV28" s="928">
        <v>0</v>
      </c>
      <c r="BW28" s="928">
        <v>0</v>
      </c>
      <c r="BX28" s="928">
        <v>0</v>
      </c>
      <c r="BY28" s="928">
        <v>0</v>
      </c>
      <c r="BZ28" s="928">
        <v>0</v>
      </c>
      <c r="CA28" s="928">
        <v>0</v>
      </c>
      <c r="CB28" s="928">
        <v>0</v>
      </c>
      <c r="CC28" s="928">
        <v>0</v>
      </c>
      <c r="CD28" s="928">
        <v>0</v>
      </c>
      <c r="CE28" s="928">
        <v>0</v>
      </c>
      <c r="CF28" s="928">
        <v>0</v>
      </c>
      <c r="CG28" s="928">
        <v>0</v>
      </c>
      <c r="CH28" s="928">
        <v>0</v>
      </c>
      <c r="CI28" s="928">
        <v>0</v>
      </c>
      <c r="CJ28" s="928">
        <v>0</v>
      </c>
      <c r="CK28" s="928">
        <v>0</v>
      </c>
      <c r="CL28" s="928">
        <v>0</v>
      </c>
      <c r="CM28" s="928">
        <v>0</v>
      </c>
      <c r="CN28" s="928">
        <v>0</v>
      </c>
      <c r="CO28" s="928">
        <v>0</v>
      </c>
      <c r="CP28" s="928">
        <v>0</v>
      </c>
      <c r="CQ28" s="928">
        <v>0</v>
      </c>
      <c r="CR28" s="928">
        <v>0</v>
      </c>
      <c r="CS28" s="928">
        <v>0</v>
      </c>
      <c r="CT28" s="928">
        <v>0</v>
      </c>
      <c r="CU28" s="928">
        <v>0</v>
      </c>
      <c r="CV28" s="928">
        <v>0</v>
      </c>
      <c r="CW28" s="928">
        <v>0</v>
      </c>
      <c r="CX28" s="928">
        <v>0</v>
      </c>
      <c r="CY28" s="928">
        <v>0</v>
      </c>
      <c r="CZ28" s="928">
        <v>0</v>
      </c>
      <c r="DA28" s="928">
        <v>0</v>
      </c>
      <c r="DB28" s="928">
        <v>0</v>
      </c>
      <c r="DC28" s="928">
        <v>0</v>
      </c>
      <c r="DD28" s="928">
        <v>0</v>
      </c>
      <c r="DE28" s="928">
        <v>0</v>
      </c>
      <c r="DF28" s="928">
        <v>0</v>
      </c>
      <c r="DG28" s="928">
        <v>0</v>
      </c>
      <c r="DH28" s="928">
        <v>0</v>
      </c>
      <c r="DI28" s="928">
        <v>0</v>
      </c>
      <c r="DJ28" s="928">
        <v>0</v>
      </c>
      <c r="DK28" s="928">
        <v>0</v>
      </c>
      <c r="DL28" s="928">
        <v>0</v>
      </c>
      <c r="DM28" s="928">
        <v>0</v>
      </c>
      <c r="DN28" s="928">
        <v>0</v>
      </c>
      <c r="DO28" s="928">
        <v>0</v>
      </c>
      <c r="DP28" s="928">
        <v>0</v>
      </c>
      <c r="DQ28" s="928">
        <v>0</v>
      </c>
      <c r="DR28" s="928">
        <v>0</v>
      </c>
      <c r="DS28" s="928">
        <v>0</v>
      </c>
      <c r="DT28" s="928">
        <v>0</v>
      </c>
      <c r="DU28" s="928">
        <v>0</v>
      </c>
      <c r="DV28" s="928">
        <v>0</v>
      </c>
      <c r="DW28" s="928">
        <v>0</v>
      </c>
      <c r="DX28" s="928">
        <v>0</v>
      </c>
      <c r="DY28" s="928">
        <v>0</v>
      </c>
      <c r="DZ28" s="928">
        <v>0</v>
      </c>
      <c r="EA28" s="928">
        <v>0</v>
      </c>
      <c r="EB28" s="928">
        <v>0</v>
      </c>
      <c r="EC28" s="928">
        <v>0</v>
      </c>
      <c r="ED28" s="928">
        <v>0</v>
      </c>
      <c r="EE28" s="928">
        <v>0</v>
      </c>
      <c r="EF28" s="928">
        <v>0</v>
      </c>
      <c r="EG28" s="928">
        <v>0</v>
      </c>
      <c r="EH28" s="928">
        <v>0</v>
      </c>
      <c r="EI28" s="928">
        <v>0</v>
      </c>
      <c r="EJ28" s="928">
        <v>0</v>
      </c>
      <c r="EK28" s="928">
        <v>0</v>
      </c>
      <c r="EL28" s="928">
        <v>0</v>
      </c>
      <c r="EM28" s="928">
        <v>0</v>
      </c>
      <c r="EN28" s="928">
        <v>0</v>
      </c>
      <c r="EO28" s="928">
        <v>0</v>
      </c>
      <c r="EP28" s="928">
        <v>0</v>
      </c>
      <c r="EQ28" s="928">
        <v>0</v>
      </c>
      <c r="ER28" s="928">
        <v>0</v>
      </c>
      <c r="ES28" s="928">
        <v>0</v>
      </c>
      <c r="ET28" s="928">
        <v>0</v>
      </c>
      <c r="EU28" s="928">
        <v>0</v>
      </c>
      <c r="EV28" s="928">
        <v>0</v>
      </c>
      <c r="EW28" s="928">
        <v>0</v>
      </c>
      <c r="EX28" s="928">
        <v>0</v>
      </c>
      <c r="EY28" s="928">
        <v>0</v>
      </c>
      <c r="EZ28" s="928">
        <v>0</v>
      </c>
      <c r="FA28" s="928">
        <v>0</v>
      </c>
      <c r="FB28" s="928">
        <v>0</v>
      </c>
      <c r="FC28" s="928">
        <v>0</v>
      </c>
      <c r="FD28" s="928">
        <v>0</v>
      </c>
      <c r="FE28" s="928">
        <v>0</v>
      </c>
      <c r="FF28" s="928">
        <v>0</v>
      </c>
      <c r="FG28" s="928">
        <v>0</v>
      </c>
      <c r="FH28" s="928">
        <v>0</v>
      </c>
      <c r="FI28" s="928">
        <v>0</v>
      </c>
      <c r="FJ28" s="928">
        <v>0</v>
      </c>
      <c r="FK28" s="928">
        <v>0</v>
      </c>
      <c r="FL28" s="928">
        <v>0</v>
      </c>
      <c r="FM28" s="928">
        <v>0</v>
      </c>
      <c r="FN28" s="928">
        <v>0</v>
      </c>
      <c r="FO28" s="928">
        <v>0</v>
      </c>
      <c r="FP28" s="928">
        <v>0</v>
      </c>
      <c r="FQ28" s="928">
        <v>0</v>
      </c>
      <c r="FR28" s="928">
        <v>0</v>
      </c>
      <c r="FS28" s="928">
        <v>0</v>
      </c>
      <c r="FT28" s="928">
        <v>0</v>
      </c>
      <c r="FU28" s="928">
        <v>0</v>
      </c>
      <c r="FV28" s="928">
        <v>0</v>
      </c>
      <c r="FW28" s="928">
        <v>0</v>
      </c>
      <c r="FX28" s="928">
        <v>8</v>
      </c>
      <c r="FY28" s="928">
        <v>8</v>
      </c>
      <c r="FZ28" s="928">
        <v>8</v>
      </c>
      <c r="GA28" s="928">
        <v>8</v>
      </c>
      <c r="GB28" s="928">
        <v>8</v>
      </c>
      <c r="GC28" s="928">
        <v>12</v>
      </c>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47">
    <dataValidation allowBlank="1" showInputMessage="1" showErrorMessage="1" sqref="AA14:AB16 U16:Z16"/>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type="textLength" operator="lessThanOrEqual" allowBlank="1" showInputMessage="1" showErrorMessage="1" errorTitle="Ошибка" error="Допускается ввод не более 900 символов!" sqref="I22">
      <formula1>900</formula1>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C26204-2428-39C3-BB0F-AE51C2FA2DFD}"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27" t="s">
        <v>682</v>
      </c>
      <c r="D2" s="541"/>
      <c r="E2" s="665"/>
      <c r="F2" s="1762"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5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55"/>
      <c r="F5" s="2255"/>
      <c r="G5" s="2255"/>
      <c r="H5" s="2255"/>
      <c r="I5" s="539"/>
      <c r="S5" s="507">
        <v>38</v>
      </c>
    </row>
    <row customHeight="1" ht="15.75">
      <c r="C6" s="178"/>
      <c r="D6" s="2224" t="str">
        <f>IF(org=0,"Не определено",org)</f>
        <v>Муниципальное унитарное предприятие "Невельские коммунальные сети"</v>
      </c>
      <c r="E6" s="2224"/>
      <c r="F6" s="2224"/>
      <c r="G6" s="2224"/>
      <c r="H6" s="2224"/>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114</v>
      </c>
      <c r="S8" s="507">
        <v>1</v>
      </c>
    </row>
    <row customHeight="1" ht="15.75">
      <c r="C9" s="178"/>
      <c r="D9" s="713"/>
      <c r="E9" s="2395" t="s">
        <v>102</v>
      </c>
      <c r="F9" s="2396"/>
      <c r="G9" s="818" t="str">
        <f>IF(G8="","",INDEX(DIFFERENTIATION_UNMERGE_VD,MATCH(G8,DIFFERENTIATION_ID_DIFF,0)))</f>
        <v/>
      </c>
      <c r="H9" s="818">
        <f>IF(H8="","",INDEX(DIFFERENTIATION_UNMERGE_VD,MATCH(H8,DIFFERENTIATION_ID_DIFF,0)))</f>
        <v>0</v>
      </c>
      <c r="I9" s="2140" t="s">
        <v>296</v>
      </c>
      <c r="S9" s="507">
        <v>15</v>
      </c>
    </row>
    <row s="1637" customFormat="1" customHeight="1" ht="15.75">
      <c r="A10" s="761"/>
      <c r="C10" s="178"/>
      <c r="D10" s="713"/>
      <c r="E10" s="2395" t="s">
        <v>557</v>
      </c>
      <c r="F10" s="2396"/>
      <c r="G10" s="818" t="str">
        <f>IF(G8="","",INDEX(DIFFERENTIATION_UNMERGE_AREA,MATCH(G8,DIFFERENTIATION_ID_DIFF,0)))</f>
        <v/>
      </c>
      <c r="H10" s="818" t="str">
        <f>IF(H8="","",INDEX(DIFFERENTIATION_UNMERGE_AREA,MATCH(H8,DIFFERENTIATION_ID_DIFF,0)))</f>
        <v/>
      </c>
      <c r="I10" s="2140"/>
      <c r="R10" s="677"/>
      <c r="S10" s="760">
        <v>15</v>
      </c>
    </row>
    <row s="1637" customFormat="1" customHeight="1" ht="15.75">
      <c r="A11" s="761"/>
      <c r="C11" s="178"/>
      <c r="D11" s="713"/>
      <c r="E11" s="2395" t="s">
        <v>558</v>
      </c>
      <c r="F11" s="2396"/>
      <c r="G11" s="818" t="str">
        <f>IF(G8="","",INDEX(DIFFERENTIATION_UNMERGE_SYSTEM,MATCH(G8,DIFFERENTIATION_ID_DIFF,0)))</f>
        <v/>
      </c>
      <c r="H11" s="818" t="str">
        <f>IF(H8="","",INDEX(DIFFERENTIATION_UNMERGE_SYSTEM,MATCH(H8,DIFFERENTIATION_ID_DIFF,0)))</f>
        <v>без дифференциации</v>
      </c>
      <c r="I11" s="2140"/>
      <c r="R11" s="677"/>
      <c r="S11" s="760">
        <v>15</v>
      </c>
    </row>
    <row s="1637" customFormat="1" customHeight="1" ht="15.75">
      <c r="A12" s="761"/>
      <c r="C12" s="178"/>
      <c r="D12" s="2397" t="s">
        <v>295</v>
      </c>
      <c r="E12" s="2398"/>
      <c r="F12" s="2398"/>
      <c r="G12" s="889"/>
      <c r="H12" s="889"/>
      <c r="I12" s="2140"/>
      <c r="R12" s="677"/>
      <c r="S12" s="760">
        <v>15</v>
      </c>
    </row>
    <row customHeight="1" ht="35.699999999999996">
      <c r="C13" s="178"/>
      <c r="D13" s="763" t="s">
        <v>88</v>
      </c>
      <c r="E13" s="762" t="s">
        <v>297</v>
      </c>
      <c r="F13" s="762" t="s">
        <v>559</v>
      </c>
      <c r="G13" s="810" t="s">
        <v>298</v>
      </c>
      <c r="H13" s="756" t="s">
        <v>298</v>
      </c>
      <c r="I13" s="2140"/>
      <c r="S13" s="507">
        <v>34</v>
      </c>
    </row>
    <row customHeight="1" ht="15" hidden="1">
      <c r="C14" s="178"/>
      <c r="D14" s="595" t="s">
        <v>106</v>
      </c>
      <c r="E14" s="595" t="s">
        <v>107</v>
      </c>
      <c r="F14" s="595" t="s">
        <v>90</v>
      </c>
      <c r="G14" s="661" t="str">
        <f>G1&amp;".1"</f>
        <v>.1</v>
      </c>
      <c r="H14" s="661" t="str">
        <f>H1&amp;".1"</f>
        <v>4.1</v>
      </c>
      <c r="I14" s="291"/>
      <c r="S14" s="507">
        <v>0</v>
      </c>
    </row>
    <row customHeight="1" ht="15.75">
      <c r="A15" s="507"/>
      <c r="C15" s="528"/>
      <c r="D15" s="523">
        <v>1</v>
      </c>
      <c r="E15" s="1929" t="str">
        <f>TP_P_A</f>
        <v>Количество поданных заявлений </v>
      </c>
      <c r="F15" s="523" t="s">
        <v>1166</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29" t="str">
        <f>TP_P_B</f>
        <v>Количество исполненных заявлений </v>
      </c>
      <c r="F16" s="523" t="s">
        <v>1166</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7.7">
      <c r="A17" s="507"/>
      <c r="C17" s="528"/>
      <c r="D17" s="523">
        <v>3</v>
      </c>
      <c r="E17" s="192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1166</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29"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301</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29"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1167</v>
      </c>
      <c r="E20" s="690"/>
      <c r="F20" s="511"/>
      <c r="G20" s="511"/>
      <c r="H20" s="511"/>
      <c r="I20" s="1764"/>
      <c r="S20" s="507">
        <v>0</v>
      </c>
    </row>
    <row customHeight="1" ht="29.25">
      <c r="C21" s="453"/>
      <c r="D21" s="541" t="s">
        <v>308</v>
      </c>
      <c r="E21" s="672"/>
      <c r="F21" s="1762" t="str">
        <f>IF(TEMPLATE_SPHERE="HEAT","Гкал/час","тыс. куб. м/сутки")</f>
        <v>тыс. куб. м/сутки</v>
      </c>
      <c r="G21" s="682"/>
      <c r="H21" s="682"/>
      <c r="I21" s="2184"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1168</v>
      </c>
      <c r="F22" s="574"/>
      <c r="G22" s="574"/>
      <c r="H22" s="574"/>
      <c r="I22" s="2186"/>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32808-7674-86D8-5688-7627C7C7E93B}" mc:Ignorable="x14ac xr xr2 xr3">
  <sheetPr>
    <tabColor theme="6" tint="0.4"/>
    <pageSetUpPr fitToPage="1"/>
  </sheetPr>
  <dimension ref="A1:Q36"/>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20"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7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80"/>
      <c r="F5" s="2480"/>
      <c r="G5" s="2481"/>
      <c r="Q5" s="85">
        <v>28</v>
      </c>
    </row>
    <row s="1637" customFormat="1" customHeight="1" ht="18.75">
      <c r="A6" s="884"/>
      <c r="B6" s="419"/>
      <c r="C6" s="378"/>
      <c r="D6" s="2482" t="str">
        <f>IF(org=0,"Не определено",org)</f>
        <v>Муниципальное унитарное предприятие "Невельские коммунальные сети"</v>
      </c>
      <c r="E6" s="2483"/>
      <c r="F6" s="2483"/>
      <c r="G6" s="2484"/>
      <c r="I6" s="502"/>
      <c r="J6" s="502"/>
      <c r="Q6" s="760">
        <v>18</v>
      </c>
    </row>
    <row customHeight="1" ht="14.699999999999998">
      <c r="C7" s="98"/>
      <c r="D7" s="86"/>
      <c r="E7" s="97"/>
      <c r="F7" s="754"/>
      <c r="G7" s="195"/>
      <c r="Q7" s="85">
        <v>14</v>
      </c>
    </row>
    <row s="1637" customFormat="1" customHeight="1" ht="1.05">
      <c r="A8" s="1670"/>
      <c r="B8" s="1162"/>
      <c r="C8" s="378"/>
      <c r="D8" s="365"/>
      <c r="E8" s="391"/>
      <c r="F8" s="754"/>
      <c r="G8" s="195"/>
      <c r="I8" s="1626"/>
      <c r="J8" s="1626"/>
      <c r="Q8" s="1633">
        <v>1</v>
      </c>
    </row>
    <row customHeight="1" ht="14.699999999999998">
      <c r="C9" s="98"/>
      <c r="D9" s="2232" t="s">
        <v>295</v>
      </c>
      <c r="E9" s="2232"/>
      <c r="F9" s="2232"/>
      <c r="G9" s="2414" t="s">
        <v>296</v>
      </c>
      <c r="Q9" s="85">
        <v>14</v>
      </c>
    </row>
    <row customHeight="1" ht="24">
      <c r="C10" s="98"/>
      <c r="D10" s="107" t="s">
        <v>88</v>
      </c>
      <c r="E10" s="110" t="s">
        <v>297</v>
      </c>
      <c r="F10" s="110" t="s">
        <v>385</v>
      </c>
      <c r="G10" s="2414"/>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301</v>
      </c>
      <c r="G12" s="153"/>
      <c r="Q12" s="85">
        <v>62</v>
      </c>
    </row>
    <row customHeight="1" ht="24">
      <c r="A13" s="194"/>
      <c r="C13" s="98"/>
      <c r="D13" s="149" t="s">
        <v>1070</v>
      </c>
      <c r="E13" s="196"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301</v>
      </c>
      <c r="G13" s="153"/>
      <c r="Q13" s="85">
        <v>23</v>
      </c>
    </row>
    <row customHeight="1" ht="14.699999999999998">
      <c r="A14" s="194"/>
      <c r="C14" s="98"/>
      <c r="D14" s="149" t="s">
        <v>1106</v>
      </c>
      <c r="E14" s="197"/>
      <c r="F14" s="215"/>
      <c r="G14" s="218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1169</v>
      </c>
      <c r="F15" s="203"/>
      <c r="G15" s="2186"/>
      <c r="Q15" s="85">
        <v>15</v>
      </c>
    </row>
    <row customHeight="1" ht="14.699999999999998">
      <c r="A16" s="194"/>
      <c r="C16" s="98"/>
      <c r="D16" s="149" t="s">
        <v>1072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301</v>
      </c>
      <c r="G16" s="339"/>
      <c r="Q16" s="85">
        <v>14</v>
      </c>
    </row>
    <row customHeight="1" ht="14.699999999999998">
      <c r="A17" s="194"/>
      <c r="C17" s="98"/>
      <c r="D17" s="149" t="s">
        <v>1114</v>
      </c>
      <c r="E17" s="197"/>
      <c r="F17" s="387"/>
      <c r="G17" s="218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1170</v>
      </c>
      <c r="F18" s="340"/>
      <c r="G18" s="2186"/>
      <c r="I18" s="352"/>
      <c r="J18" s="352"/>
      <c r="Q18" s="344">
        <v>21</v>
      </c>
    </row>
    <row s="1637" customFormat="1" customHeight="1" ht="256.5" hidden="1">
      <c r="A19" s="345"/>
      <c r="B19" s="419"/>
      <c r="C19" s="378"/>
      <c r="D19" s="886" t="s">
        <v>1074</v>
      </c>
      <c r="E19" s="885" t="s">
        <v>1171</v>
      </c>
      <c r="F19" s="387"/>
      <c r="G19" s="339" t="s">
        <v>1172</v>
      </c>
      <c r="I19" s="502"/>
      <c r="J19" s="502"/>
      <c r="Q19" s="760">
        <v>0</v>
      </c>
    </row>
    <row s="1637" customFormat="1" customHeight="1" ht="14.699999999999998">
      <c r="A20" s="345"/>
      <c r="B20" s="148"/>
      <c r="C20" s="309"/>
      <c r="D20" s="887">
        <v>2</v>
      </c>
      <c r="E20" s="332" t="s">
        <v>1173</v>
      </c>
      <c r="F20" s="200" t="s">
        <v>301</v>
      </c>
      <c r="G20" s="339"/>
      <c r="I20" s="352"/>
      <c r="J20" s="352"/>
      <c r="Q20" s="344">
        <v>14</v>
      </c>
    </row>
    <row s="1637" customFormat="1" customHeight="1" ht="18.75" hidden="1">
      <c r="A21" s="345"/>
      <c r="B21" s="148"/>
      <c r="C21" s="309"/>
      <c r="D21" s="335" t="s">
        <v>629</v>
      </c>
      <c r="E21" s="334"/>
      <c r="F21" s="333"/>
      <c r="G21" s="343"/>
      <c r="H21" s="336"/>
      <c r="I21" s="352"/>
      <c r="J21" s="352"/>
      <c r="Q21" s="344">
        <v>0</v>
      </c>
    </row>
    <row customHeight="1" ht="15.75">
      <c r="A22" s="194"/>
      <c r="C22" s="98"/>
      <c r="D22" s="111"/>
      <c r="E22" s="205" t="s">
        <v>317</v>
      </c>
      <c r="F22" s="340"/>
      <c r="G22" s="341"/>
      <c r="Q22" s="85">
        <v>15</v>
      </c>
    </row>
    <row s="1637" customFormat="1" customHeight="1" ht="22.5" hidden="1">
      <c r="A23" s="345"/>
      <c r="B23" s="1162"/>
      <c r="C23" s="378"/>
      <c r="D23" s="1674" t="s">
        <v>107</v>
      </c>
      <c r="E23" s="199" t="s">
        <v>1174</v>
      </c>
      <c r="F23" s="1671" t="s">
        <v>301</v>
      </c>
      <c r="G23" s="347"/>
      <c r="I23" s="1626"/>
      <c r="J23" s="1626"/>
      <c r="Q23" s="1633">
        <v>0</v>
      </c>
    </row>
    <row s="1637" customFormat="1" customHeight="1" ht="14.25" hidden="1">
      <c r="A24" s="345"/>
      <c r="B24" s="1162"/>
      <c r="C24" s="378"/>
      <c r="D24" s="1674" t="s">
        <v>702</v>
      </c>
      <c r="E24" s="1673" t="s">
        <v>1175</v>
      </c>
      <c r="F24" s="1671" t="s">
        <v>301</v>
      </c>
      <c r="G24" s="339"/>
      <c r="I24" s="1626"/>
      <c r="J24" s="1626"/>
      <c r="Q24" s="1633">
        <v>0</v>
      </c>
    </row>
    <row s="1637" customFormat="1" customHeight="1" ht="14.25" hidden="1">
      <c r="A25" s="345"/>
      <c r="B25" s="1162"/>
      <c r="C25" s="378"/>
      <c r="D25" s="1674" t="s">
        <v>705</v>
      </c>
      <c r="E25" s="197"/>
      <c r="F25" s="387"/>
      <c r="G25" s="2184" t="s">
        <v>1176</v>
      </c>
      <c r="I25" s="1626"/>
      <c r="J25" s="1626"/>
      <c r="Q25" s="1633">
        <v>0</v>
      </c>
    </row>
    <row s="1637" customFormat="1" customHeight="1" ht="14.25" hidden="1">
      <c r="A26" s="345"/>
      <c r="B26" s="1162"/>
      <c r="C26" s="378"/>
      <c r="D26" s="349"/>
      <c r="E26" s="351" t="s">
        <v>1177</v>
      </c>
      <c r="F26" s="340"/>
      <c r="G26" s="2186"/>
      <c r="I26" s="1626"/>
      <c r="J26" s="1626"/>
      <c r="Q26" s="1633">
        <v>0</v>
      </c>
    </row>
    <row s="1637" customFormat="1" customHeight="1" ht="33.75" hidden="1">
      <c r="A27" s="345"/>
      <c r="B27" s="1368"/>
      <c r="C27" s="378"/>
      <c r="D27" s="2078" t="s">
        <v>90</v>
      </c>
      <c r="E27" s="199" t="s">
        <v>1178</v>
      </c>
      <c r="F27" s="2079" t="s">
        <v>301</v>
      </c>
      <c r="G27" s="1527"/>
      <c r="I27" s="1626"/>
      <c r="J27" s="1626"/>
      <c r="Q27" s="1633">
        <v>0</v>
      </c>
    </row>
    <row s="1637" customFormat="1" customHeight="1" ht="22.5" hidden="1">
      <c r="A28" s="345"/>
      <c r="B28" s="1368"/>
      <c r="C28" s="378"/>
      <c r="D28" s="2078" t="s">
        <v>319</v>
      </c>
      <c r="E28" s="2080" t="s">
        <v>1179</v>
      </c>
      <c r="F28" s="2079" t="s">
        <v>301</v>
      </c>
      <c r="G28" s="339"/>
      <c r="I28" s="1626"/>
      <c r="J28" s="1626"/>
      <c r="Q28" s="1633">
        <v>0</v>
      </c>
    </row>
    <row s="1637" customFormat="1" customHeight="1" ht="14.25" hidden="1">
      <c r="A29" s="345"/>
      <c r="B29" s="1368"/>
      <c r="C29" s="378"/>
      <c r="D29" s="2078" t="s">
        <v>321</v>
      </c>
      <c r="E29" s="2092"/>
      <c r="F29" s="664"/>
      <c r="G29" s="2184" t="s">
        <v>1180</v>
      </c>
      <c r="I29" s="1626"/>
      <c r="J29" s="1626"/>
      <c r="Q29" s="1633">
        <v>0</v>
      </c>
    </row>
    <row s="1637" customFormat="1" customHeight="1" ht="14.25" hidden="1">
      <c r="A30" s="345"/>
      <c r="B30" s="1368"/>
      <c r="C30" s="378"/>
      <c r="D30" s="349"/>
      <c r="E30" s="573" t="s">
        <v>1177</v>
      </c>
      <c r="F30" s="340"/>
      <c r="G30" s="2186"/>
      <c r="I30" s="1626"/>
      <c r="J30" s="1626"/>
      <c r="Q30" s="1633">
        <v>0</v>
      </c>
    </row>
    <row customHeight="1" ht="3">
      <c r="Q31" s="85">
        <v>3</v>
      </c>
    </row>
    <row customHeight="1" ht="14.699999999999998">
      <c r="D32" s="338"/>
      <c r="E32" s="337"/>
      <c r="F32" s="317"/>
      <c r="G32" s="317"/>
      <c r="H32" s="317"/>
      <c r="I32" s="317"/>
      <c r="J32" s="317"/>
      <c r="K32" s="317"/>
      <c r="L32" s="317"/>
      <c r="M32" s="317"/>
      <c r="N32" s="317"/>
      <c r="O32" s="317"/>
      <c r="P32" s="317"/>
      <c r="Q32" s="85">
        <v>14</v>
      </c>
    </row>
    <row customHeight="1" ht="14.699999999999998">
      <c r="D33" s="338"/>
      <c r="E33" s="584"/>
      <c r="Q33" s="85">
        <v>14</v>
      </c>
    </row>
    <row customHeight="1" ht="14.699999999999998">
      <c r="Q34" s="85">
        <v>14</v>
      </c>
    </row>
    <row customHeight="1" ht="14.699999999999998">
      <c r="E35" s="760"/>
      <c r="Q35" s="85">
        <v>14</v>
      </c>
    </row>
    <row customHeight="1" ht="22.5" hidden="1">
      <c r="A36" s="103" t="s">
        <v>82</v>
      </c>
      <c r="B36" s="148">
        <v>0</v>
      </c>
      <c r="C36" s="99">
        <v>3</v>
      </c>
      <c r="D36" s="85">
        <v>6</v>
      </c>
      <c r="E36" s="85">
        <v>64</v>
      </c>
      <c r="F36" s="85">
        <v>64</v>
      </c>
      <c r="G36" s="85">
        <v>140</v>
      </c>
      <c r="H36" s="85">
        <v>10</v>
      </c>
      <c r="I36" s="157">
        <v>10</v>
      </c>
      <c r="J36" s="157">
        <v>10</v>
      </c>
      <c r="K36" s="85">
        <v>10</v>
      </c>
      <c r="L36" s="85">
        <v>10</v>
      </c>
      <c r="M36" s="85">
        <v>10</v>
      </c>
      <c r="N36" s="85">
        <v>10</v>
      </c>
      <c r="O36" s="85">
        <v>10</v>
      </c>
      <c r="P36" s="85">
        <v>10</v>
      </c>
      <c r="Q36" s="85">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F4978-0A18-0102-4982-B86DA7FBD0E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4"/>
      <c r="B2" s="1162"/>
      <c r="C2" s="1731" t="s">
        <v>682</v>
      </c>
      <c r="D2" s="1674"/>
      <c r="E2" s="201"/>
      <c r="F2" s="1671"/>
      <c r="G2" s="1671" t="s">
        <v>301</v>
      </c>
      <c r="H2" s="1163"/>
      <c r="K2" s="1626"/>
      <c r="L2" s="1626"/>
      <c r="M2" s="1633">
        <v>0</v>
      </c>
    </row>
    <row s="1637" customFormat="1" customHeight="1" ht="14.25" hidden="1">
      <c r="A3" s="1364"/>
      <c r="B3" s="1162"/>
      <c r="C3" s="346"/>
      <c r="K3" s="1626"/>
      <c r="L3" s="1626"/>
      <c r="M3" s="1633">
        <v>0</v>
      </c>
    </row>
    <row s="1637" customFormat="1" customHeight="1" ht="18.75" hidden="1">
      <c r="A4" s="1684"/>
      <c r="B4" s="1162"/>
      <c r="C4" s="1731" t="s">
        <v>682</v>
      </c>
      <c r="D4" s="1674"/>
      <c r="E4" s="207" t="s">
        <v>1181</v>
      </c>
      <c r="F4" s="1671"/>
      <c r="G4" s="259"/>
      <c r="H4" s="1671" t="s">
        <v>301</v>
      </c>
      <c r="K4" s="1626"/>
      <c r="L4" s="1626"/>
      <c r="M4" s="1633">
        <v>0</v>
      </c>
    </row>
    <row s="1637" customFormat="1" customHeight="1" ht="14.25" hidden="1">
      <c r="A5" s="1364"/>
      <c r="B5" s="1162"/>
      <c r="C5" s="346"/>
      <c r="K5" s="1626"/>
      <c r="L5" s="1626"/>
      <c r="M5" s="1633">
        <v>0</v>
      </c>
    </row>
    <row s="1637" customFormat="1" customHeight="1" ht="18.75" hidden="1">
      <c r="A6" s="1684"/>
      <c r="B6" s="1162"/>
      <c r="C6" s="1731" t="s">
        <v>682</v>
      </c>
      <c r="D6" s="1674"/>
      <c r="E6" s="208" t="s">
        <v>1182</v>
      </c>
      <c r="F6" s="1671"/>
      <c r="G6" s="259"/>
      <c r="H6" s="1671" t="s">
        <v>301</v>
      </c>
      <c r="K6" s="1626"/>
      <c r="L6" s="1626"/>
      <c r="M6" s="1633">
        <v>0</v>
      </c>
    </row>
    <row s="1637" customFormat="1" customHeight="1" ht="14.25" hidden="1">
      <c r="A7" s="1364"/>
      <c r="B7" s="1162"/>
      <c r="C7" s="346"/>
      <c r="K7" s="1626"/>
      <c r="L7" s="1626"/>
      <c r="M7" s="1633">
        <v>0</v>
      </c>
    </row>
    <row s="1637" customFormat="1" customHeight="1" ht="18.75" hidden="1">
      <c r="A8" s="1684"/>
      <c r="B8" s="1162"/>
      <c r="C8" s="1731" t="s">
        <v>682</v>
      </c>
      <c r="D8" s="1674"/>
      <c r="E8" s="208" t="s">
        <v>1183</v>
      </c>
      <c r="F8" s="1671"/>
      <c r="G8" s="259"/>
      <c r="H8" s="1671" t="s">
        <v>301</v>
      </c>
      <c r="K8" s="1626"/>
      <c r="L8" s="1626"/>
      <c r="M8" s="1633">
        <v>0</v>
      </c>
    </row>
    <row s="1637" customFormat="1" customHeight="1" ht="14.25" hidden="1">
      <c r="A9" s="1364"/>
      <c r="B9" s="1162"/>
      <c r="C9" s="346"/>
      <c r="K9" s="1626"/>
      <c r="L9" s="1626"/>
      <c r="M9" s="1633">
        <v>0</v>
      </c>
    </row>
    <row s="1637" customFormat="1" customHeight="1" ht="18.75" hidden="1">
      <c r="A10" s="1684"/>
      <c r="B10" s="1162"/>
      <c r="C10" s="1731" t="s">
        <v>682</v>
      </c>
      <c r="D10" s="1674"/>
      <c r="E10" s="208" t="s">
        <v>1184</v>
      </c>
      <c r="F10" s="1671"/>
      <c r="G10" s="1675"/>
      <c r="H10" s="1671" t="s">
        <v>301</v>
      </c>
      <c r="K10" s="1626"/>
      <c r="L10" s="1626" t="s">
        <v>1185</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7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80"/>
      <c r="F14" s="2480"/>
      <c r="G14" s="2480"/>
      <c r="H14" s="2481"/>
      <c r="J14" s="1633"/>
      <c r="M14" s="85">
        <v>28</v>
      </c>
    </row>
    <row s="1637" customFormat="1" customHeight="1" ht="14.699999999999998">
      <c r="A15" s="1364"/>
      <c r="B15" s="1162"/>
      <c r="C15" s="378"/>
      <c r="D15" s="2482" t="str">
        <f>IF(org=0,"Не определено",org)</f>
        <v>Муниципальное унитарное предприятие "Невельские коммунальные сети"</v>
      </c>
      <c r="E15" s="2483"/>
      <c r="F15" s="2483"/>
      <c r="G15" s="2483"/>
      <c r="H15" s="2484"/>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32" t="s">
        <v>295</v>
      </c>
      <c r="E18" s="2232"/>
      <c r="F18" s="2232"/>
      <c r="G18" s="2232"/>
      <c r="H18" s="2232"/>
      <c r="I18" s="2414" t="s">
        <v>296</v>
      </c>
      <c r="M18" s="85">
        <v>21</v>
      </c>
    </row>
    <row customHeight="1" ht="22.049999999999997">
      <c r="C19" s="98"/>
      <c r="D19" s="107" t="s">
        <v>88</v>
      </c>
      <c r="E19" s="110" t="s">
        <v>297</v>
      </c>
      <c r="F19" s="110"/>
      <c r="G19" s="110" t="s">
        <v>298</v>
      </c>
      <c r="H19" s="110" t="s">
        <v>385</v>
      </c>
      <c r="I19" s="2414"/>
      <c r="M19" s="85">
        <v>21</v>
      </c>
    </row>
    <row customHeight="1" ht="12" hidden="1">
      <c r="C20" s="98"/>
      <c r="D20" s="89"/>
      <c r="E20" s="89"/>
      <c r="F20" s="89"/>
      <c r="G20" s="89"/>
      <c r="H20" s="89"/>
      <c r="I20" s="89"/>
      <c r="M20" s="85">
        <v>0</v>
      </c>
    </row>
    <row customHeight="1" ht="14.699999999999998">
      <c r="A21" s="1684"/>
      <c r="C21" s="98"/>
      <c r="D21" s="149">
        <v>1</v>
      </c>
      <c r="E21" s="2486" t="s">
        <v>1186</v>
      </c>
      <c r="F21" s="2486"/>
      <c r="G21" s="2486"/>
      <c r="H21" s="2486"/>
      <c r="I21" s="210"/>
      <c r="M21" s="85">
        <v>14</v>
      </c>
    </row>
    <row customHeight="1" ht="21">
      <c r="A22" s="1684"/>
      <c r="C22" s="98"/>
      <c r="D22" s="149" t="s">
        <v>1070</v>
      </c>
      <c r="E22" s="196" t="s">
        <v>1187</v>
      </c>
      <c r="F22" s="200"/>
      <c r="G22" s="1738"/>
      <c r="H22" s="200" t="s">
        <v>301</v>
      </c>
      <c r="I22" s="153" t="s">
        <v>1188</v>
      </c>
      <c r="M22" s="85">
        <v>20</v>
      </c>
    </row>
    <row customHeight="1" ht="60">
      <c r="A23" s="1684"/>
      <c r="C23" s="98"/>
      <c r="D23" s="149" t="s">
        <v>1072</v>
      </c>
      <c r="E23" s="196" t="s">
        <v>1189</v>
      </c>
      <c r="F23" s="200"/>
      <c r="G23" s="259"/>
      <c r="H23" s="215"/>
      <c r="I23" s="260" t="s">
        <v>1190</v>
      </c>
      <c r="M23" s="85">
        <v>57</v>
      </c>
    </row>
    <row customHeight="1" ht="14.699999999999998">
      <c r="A24" s="1684"/>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301</v>
      </c>
      <c r="H24" s="215"/>
      <c r="I24" s="261" t="s">
        <v>624</v>
      </c>
      <c r="M24" s="85">
        <v>14</v>
      </c>
    </row>
    <row customHeight="1" ht="48.29999999999999">
      <c r="A25" s="1684"/>
      <c r="C25" s="98"/>
      <c r="D25" s="149">
        <v>3</v>
      </c>
      <c r="E25" s="24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5"/>
      <c r="G25" s="2485"/>
      <c r="H25" s="2485"/>
      <c r="I25" s="258"/>
      <c r="M25" s="85">
        <v>46</v>
      </c>
    </row>
    <row customHeight="1" ht="14.699999999999998">
      <c r="A26" s="1684"/>
      <c r="C26" s="98"/>
      <c r="D26" s="149" t="s">
        <v>319</v>
      </c>
      <c r="E26" s="201"/>
      <c r="F26" s="200"/>
      <c r="G26" s="200" t="s">
        <v>301</v>
      </c>
      <c r="H26" s="215"/>
      <c r="I26" s="2184" t="s">
        <v>1191</v>
      </c>
      <c r="M26" s="85">
        <v>14</v>
      </c>
    </row>
    <row customHeight="1" ht="15.75">
      <c r="A27" s="1684" t="s">
        <v>106</v>
      </c>
      <c r="C27" s="98"/>
      <c r="D27" s="111"/>
      <c r="E27" s="205" t="s">
        <v>317</v>
      </c>
      <c r="F27" s="206"/>
      <c r="G27" s="206"/>
      <c r="H27" s="203"/>
      <c r="I27" s="2186"/>
      <c r="M27" s="85">
        <v>15</v>
      </c>
    </row>
    <row customHeight="1" ht="39.75">
      <c r="A28" s="1684"/>
      <c r="B28" s="148">
        <v>3</v>
      </c>
      <c r="C28" s="98"/>
      <c r="D28" s="149">
        <v>4</v>
      </c>
      <c r="E28" s="24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5"/>
      <c r="G28" s="2485"/>
      <c r="H28" s="2485"/>
      <c r="I28" s="258"/>
      <c r="M28" s="85">
        <v>38</v>
      </c>
    </row>
    <row customHeight="1" ht="21">
      <c r="A29" s="1684"/>
      <c r="C29" s="98"/>
      <c r="D29" s="149" t="s">
        <v>753</v>
      </c>
      <c r="E29" s="207" t="s">
        <v>1181</v>
      </c>
      <c r="F29" s="200"/>
      <c r="G29" s="259"/>
      <c r="H29" s="200" t="s">
        <v>301</v>
      </c>
      <c r="I29" s="2184" t="s">
        <v>1192</v>
      </c>
      <c r="M29" s="85">
        <v>20</v>
      </c>
    </row>
    <row customHeight="1" ht="15.75">
      <c r="A30" s="1684" t="s">
        <v>107</v>
      </c>
      <c r="C30" s="98"/>
      <c r="D30" s="111"/>
      <c r="E30" s="205" t="s">
        <v>317</v>
      </c>
      <c r="F30" s="206"/>
      <c r="G30" s="206"/>
      <c r="H30" s="203"/>
      <c r="I30" s="2186"/>
      <c r="M30" s="85">
        <v>15</v>
      </c>
    </row>
    <row customHeight="1" ht="31.5">
      <c r="A31" s="1684"/>
      <c r="B31" s="148">
        <v>3</v>
      </c>
      <c r="C31" s="98"/>
      <c r="D31" s="149">
        <v>5</v>
      </c>
      <c r="E31" s="24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5"/>
      <c r="G31" s="2485"/>
      <c r="H31" s="2485"/>
      <c r="I31" s="258"/>
      <c r="M31" s="85">
        <v>30</v>
      </c>
    </row>
    <row customHeight="1" ht="27.299999999999997">
      <c r="A32" s="1684"/>
      <c r="C32" s="98"/>
      <c r="D32" s="149" t="s">
        <v>308</v>
      </c>
      <c r="E32" s="243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31"/>
      <c r="G32" s="2431"/>
      <c r="H32" s="2431"/>
      <c r="I32" s="258"/>
      <c r="M32" s="85">
        <v>26</v>
      </c>
    </row>
    <row customHeight="1" ht="14.699999999999998">
      <c r="A33" s="1684"/>
      <c r="C33" s="98"/>
      <c r="D33" s="149" t="s">
        <v>1193</v>
      </c>
      <c r="E33" s="208" t="s">
        <v>1182</v>
      </c>
      <c r="F33" s="200"/>
      <c r="G33" s="259"/>
      <c r="H33" s="200" t="s">
        <v>301</v>
      </c>
      <c r="I33" s="2184" t="s">
        <v>1194</v>
      </c>
      <c r="M33" s="85">
        <v>14</v>
      </c>
    </row>
    <row customHeight="1" ht="15.75">
      <c r="A34" s="1684" t="s">
        <v>90</v>
      </c>
      <c r="C34" s="98"/>
      <c r="D34" s="111"/>
      <c r="E34" s="206" t="s">
        <v>317</v>
      </c>
      <c r="F34" s="202"/>
      <c r="G34" s="202"/>
      <c r="H34" s="203"/>
      <c r="I34" s="2186"/>
      <c r="M34" s="85">
        <v>15</v>
      </c>
    </row>
    <row customHeight="1" ht="25.2">
      <c r="A35" s="1684"/>
      <c r="C35" s="98"/>
      <c r="D35" s="149" t="s">
        <v>893</v>
      </c>
      <c r="E35" s="243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31"/>
      <c r="G35" s="2431"/>
      <c r="H35" s="2431"/>
      <c r="I35" s="258"/>
      <c r="M35" s="85">
        <v>24</v>
      </c>
    </row>
    <row customHeight="1" ht="14.699999999999998">
      <c r="A36" s="1684"/>
      <c r="C36" s="98"/>
      <c r="D36" s="149" t="s">
        <v>1195</v>
      </c>
      <c r="E36" s="208" t="s">
        <v>1183</v>
      </c>
      <c r="F36" s="200"/>
      <c r="G36" s="259"/>
      <c r="H36" s="200" t="s">
        <v>301</v>
      </c>
      <c r="I36" s="2162" t="s">
        <v>1196</v>
      </c>
      <c r="M36" s="85">
        <v>14</v>
      </c>
    </row>
    <row customHeight="1" ht="15.75">
      <c r="A37" s="1684" t="s">
        <v>91</v>
      </c>
      <c r="C37" s="98"/>
      <c r="D37" s="111"/>
      <c r="E37" s="206" t="s">
        <v>317</v>
      </c>
      <c r="F37" s="202"/>
      <c r="G37" s="202"/>
      <c r="H37" s="203"/>
      <c r="I37" s="2162"/>
      <c r="M37" s="85">
        <v>15</v>
      </c>
    </row>
    <row customHeight="1" ht="27.299999999999997">
      <c r="A38" s="1684"/>
      <c r="C38" s="98"/>
      <c r="D38" s="149" t="s">
        <v>894</v>
      </c>
      <c r="E38" s="243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31"/>
      <c r="G38" s="2431"/>
      <c r="H38" s="2431"/>
      <c r="I38" s="258"/>
      <c r="M38" s="85">
        <v>26</v>
      </c>
    </row>
    <row customHeight="1" ht="14.699999999999998">
      <c r="A39" s="1684"/>
      <c r="C39" s="98"/>
      <c r="D39" s="149" t="s">
        <v>895</v>
      </c>
      <c r="E39" s="208" t="s">
        <v>1184</v>
      </c>
      <c r="F39" s="200"/>
      <c r="G39" s="209"/>
      <c r="H39" s="200" t="s">
        <v>301</v>
      </c>
      <c r="I39" s="2184" t="s">
        <v>1197</v>
      </c>
      <c r="L39" s="157" t="s">
        <v>1185</v>
      </c>
      <c r="M39" s="85">
        <v>14</v>
      </c>
    </row>
    <row customHeight="1" ht="15.75">
      <c r="A40" s="1684" t="s">
        <v>108</v>
      </c>
      <c r="C40" s="98"/>
      <c r="D40" s="111"/>
      <c r="E40" s="206" t="s">
        <v>317</v>
      </c>
      <c r="F40" s="202"/>
      <c r="G40" s="202"/>
      <c r="H40" s="203"/>
      <c r="I40" s="2186"/>
      <c r="M40" s="85">
        <v>15</v>
      </c>
    </row>
    <row s="1824" customFormat="1" customHeight="1" ht="3">
      <c r="A41" s="1684"/>
      <c r="K41" s="198"/>
      <c r="L41" s="198"/>
      <c r="M41" s="142">
        <v>3</v>
      </c>
    </row>
    <row customHeight="1" ht="26.25">
      <c r="D42" s="1682" t="s">
        <v>815</v>
      </c>
      <c r="E42" s="227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76"/>
      <c r="G42" s="2276"/>
      <c r="H42" s="2276"/>
      <c r="I42" s="2276"/>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C79F68-7E48-B4B5-2969-1E1A9FA0219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0"/>
      <c r="B1" s="1780"/>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1" t="s">
        <v>152</v>
      </c>
      <c r="B2" s="1781" t="s">
        <v>153</v>
      </c>
      <c r="C2" s="371"/>
      <c r="D2" s="346"/>
      <c r="E2" s="1033"/>
      <c r="F2" s="1033"/>
      <c r="G2" s="2452" t="str">
        <f>INDEX(PT_DIFFERENTIATION_NTAR,MATCH(B2,PT_DIFFERENTIATION_NTAR_ID,0))</f>
        <v/>
      </c>
      <c r="H2" s="1863"/>
      <c r="I2" s="1740"/>
      <c r="J2" s="1774"/>
      <c r="K2" s="1864"/>
      <c r="L2" s="1863" t="s">
        <v>301</v>
      </c>
      <c r="M2" s="1874"/>
      <c r="N2" s="336"/>
      <c r="O2" s="1626"/>
      <c r="P2" s="1626"/>
      <c r="AH2" s="1633">
        <v>0</v>
      </c>
    </row>
    <row s="1637" customFormat="1" customHeight="1" ht="18.75" hidden="1">
      <c r="A3" s="1781"/>
      <c r="B3" s="1781"/>
      <c r="C3" s="371" t="s">
        <v>1198</v>
      </c>
      <c r="D3" s="346"/>
      <c r="E3" s="1033"/>
      <c r="F3" s="1033"/>
      <c r="G3" s="2452"/>
      <c r="H3" s="1502"/>
      <c r="I3" s="653" t="s">
        <v>1199</v>
      </c>
      <c r="J3" s="573"/>
      <c r="K3" s="1502"/>
      <c r="L3" s="216"/>
      <c r="M3" s="1874"/>
      <c r="N3" s="336"/>
      <c r="O3" s="1626"/>
      <c r="P3" s="1626"/>
      <c r="AH3" s="1633">
        <v>0</v>
      </c>
    </row>
    <row s="1637" customFormat="1" customHeight="1" ht="14.25" hidden="1">
      <c r="A4" s="1780"/>
      <c r="B4" s="1780"/>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1" t="s">
        <v>152</v>
      </c>
      <c r="B5" s="1781" t="s">
        <v>153</v>
      </c>
      <c r="C5" s="371"/>
      <c r="D5" s="346"/>
      <c r="E5" s="1033"/>
      <c r="F5" s="1033"/>
      <c r="G5" s="2452" t="str">
        <f>INDEX(PT_DIFFERENTIATION_NTAR,MATCH(B5,PT_DIFFERENTIATION_NTAR_ID,0))</f>
        <v/>
      </c>
      <c r="H5" s="1863"/>
      <c r="I5" s="1740"/>
      <c r="J5" s="1774"/>
      <c r="K5" s="1779"/>
      <c r="L5" s="1863" t="s">
        <v>301</v>
      </c>
      <c r="M5" s="1874"/>
      <c r="N5" s="336"/>
      <c r="O5" s="1626"/>
      <c r="P5" s="1626"/>
      <c r="AH5" s="1633">
        <v>0</v>
      </c>
    </row>
    <row s="1637" customFormat="1" customHeight="1" ht="18.75" hidden="1">
      <c r="A6" s="1781"/>
      <c r="B6" s="1781"/>
      <c r="C6" s="371" t="s">
        <v>1200</v>
      </c>
      <c r="D6" s="346"/>
      <c r="E6" s="1033"/>
      <c r="F6" s="1033"/>
      <c r="G6" s="2452"/>
      <c r="H6" s="1502"/>
      <c r="I6" s="653" t="s">
        <v>1199</v>
      </c>
      <c r="J6" s="573"/>
      <c r="K6" s="1502"/>
      <c r="L6" s="216"/>
      <c r="M6" s="1874"/>
      <c r="N6" s="336"/>
      <c r="O6" s="1626"/>
      <c r="P6" s="1626"/>
      <c r="AH6" s="1633">
        <v>0</v>
      </c>
    </row>
    <row s="1637" customFormat="1" customHeight="1" ht="14.25" hidden="1">
      <c r="A7" s="1780"/>
      <c r="B7" s="1780"/>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1"/>
      <c r="B8" s="1781"/>
      <c r="C8" s="371"/>
      <c r="D8" s="346"/>
      <c r="E8" s="1033"/>
      <c r="F8" s="1033"/>
      <c r="G8" s="1033"/>
      <c r="H8" s="1772"/>
      <c r="I8" s="1740"/>
      <c r="J8" s="1774"/>
      <c r="K8" s="1864"/>
      <c r="L8" s="1772" t="s">
        <v>301</v>
      </c>
      <c r="M8" s="1874"/>
      <c r="N8" s="336"/>
      <c r="O8" s="1626"/>
      <c r="P8" s="1626"/>
      <c r="AH8" s="1633">
        <v>0</v>
      </c>
    </row>
    <row customHeight="1" ht="14.25" hidden="1">
      <c r="T9" s="399"/>
      <c r="AG9" s="257"/>
      <c r="AH9" s="376">
        <v>0</v>
      </c>
    </row>
    <row s="1637" customFormat="1" customHeight="1" ht="56.25" hidden="1">
      <c r="A10" s="1781"/>
      <c r="B10" s="1781"/>
      <c r="C10" s="371"/>
      <c r="D10" s="346"/>
      <c r="E10" s="1033"/>
      <c r="F10" s="1033"/>
      <c r="G10" s="1033"/>
      <c r="H10" s="1771"/>
      <c r="I10" s="1740"/>
      <c r="J10" s="1774"/>
      <c r="K10" s="1779"/>
      <c r="L10" s="1772" t="s">
        <v>301</v>
      </c>
      <c r="M10" s="1874"/>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8"/>
      <c r="G14" s="2488"/>
      <c r="H14" s="2488"/>
      <c r="I14" s="2488"/>
      <c r="J14" s="2488"/>
      <c r="K14" s="2488"/>
      <c r="L14" s="2488"/>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9" t="str">
        <f>IF(TITLE_DATE_PR_CHANGE="",IF(TITLE_DATE_PR="","",TITLE_DATE_PR),TITLE_DATE_PR_CHANGE)</f>
        <v/>
      </c>
      <c r="H16" s="2269"/>
      <c r="I16" s="2269"/>
      <c r="J16" s="2269"/>
      <c r="K16" s="2269"/>
      <c r="L16" s="2269"/>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70" t="str">
        <f>IF(TITLE_NUMBER_PR_CHANGE="",IF(TITLE_NUMBER_PR="","",TITLE_NUMBER_PR),TITLE_NUMBER_PR_CHANGE)</f>
        <v/>
      </c>
      <c r="H17" s="2270"/>
      <c r="I17" s="2270"/>
      <c r="J17" s="2270"/>
      <c r="K17" s="2270"/>
      <c r="L17" s="2270"/>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32" t="s">
        <v>295</v>
      </c>
      <c r="F19" s="2232"/>
      <c r="G19" s="2232"/>
      <c r="H19" s="2232"/>
      <c r="I19" s="2232"/>
      <c r="J19" s="2232"/>
      <c r="K19" s="2232"/>
      <c r="L19" s="2232"/>
      <c r="M19" s="2414" t="s">
        <v>296</v>
      </c>
      <c r="AH19" s="376">
        <v>21</v>
      </c>
    </row>
    <row customHeight="1" ht="22.049999999999997">
      <c r="D20" s="378"/>
      <c r="E20" s="2299" t="s">
        <v>88</v>
      </c>
      <c r="F20" s="2243" t="s">
        <v>119</v>
      </c>
      <c r="G20" s="2243" t="s">
        <v>120</v>
      </c>
      <c r="H20" s="2411" t="s">
        <v>1201</v>
      </c>
      <c r="I20" s="2412"/>
      <c r="J20" s="2455"/>
      <c r="K20" s="2243" t="s">
        <v>298</v>
      </c>
      <c r="L20" s="2243" t="s">
        <v>385</v>
      </c>
      <c r="M20" s="2414"/>
      <c r="AH20" s="376">
        <v>21</v>
      </c>
    </row>
    <row customHeight="1" ht="22.049999999999997">
      <c r="D21" s="378"/>
      <c r="E21" s="2301"/>
      <c r="F21" s="2244"/>
      <c r="G21" s="2244"/>
      <c r="H21" s="2238" t="s">
        <v>1202</v>
      </c>
      <c r="I21" s="2254"/>
      <c r="J21" s="110" t="s">
        <v>1203</v>
      </c>
      <c r="K21" s="2244"/>
      <c r="L21" s="2244"/>
      <c r="M21" s="2414"/>
      <c r="AH21" s="376">
        <v>21</v>
      </c>
    </row>
    <row customHeight="1" ht="12.75">
      <c r="D22" s="378"/>
      <c r="E22" s="283"/>
      <c r="F22" s="283"/>
      <c r="G22" s="283"/>
      <c r="H22" s="2490"/>
      <c r="I22" s="2490"/>
      <c r="J22" s="283"/>
      <c r="K22" s="283"/>
      <c r="L22" s="283"/>
      <c r="M22" s="283"/>
      <c r="AH22" s="376">
        <v>12</v>
      </c>
    </row>
    <row customHeight="1" ht="19.95">
      <c r="A23" s="1781"/>
      <c r="B23" s="1781"/>
      <c r="D23" s="378"/>
      <c r="E23" s="1865" t="s">
        <v>106</v>
      </c>
      <c r="F23" s="2491" t="str">
        <f>"Предлагаемый метод регулирования"&amp;IF(TEMPLATE_SPHERE="HEAT"," в сфере "&amp;TEMPLATE_SPHERE_RUS,"")</f>
        <v>Предлагаемый метод регулирования</v>
      </c>
      <c r="G23" s="2492"/>
      <c r="H23" s="2486"/>
      <c r="I23" s="2486"/>
      <c r="J23" s="2486"/>
      <c r="K23" s="2492" t="s">
        <v>301</v>
      </c>
      <c r="L23" s="2486"/>
      <c r="M23" s="1770"/>
      <c r="N23" s="336"/>
      <c r="AH23" s="376">
        <v>19</v>
      </c>
    </row>
    <row customHeight="1" ht="60.75" hidden="1">
      <c r="A24" s="1781" t="s">
        <v>152</v>
      </c>
      <c r="B24" s="1781" t="s">
        <v>153</v>
      </c>
      <c r="D24" s="2489"/>
      <c r="E24" s="2227"/>
      <c r="F24" s="24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52" t="str">
        <f>INDEX(PT_DIFFERENTIATION_NTAR,MATCH(B24,PT_DIFFERENTIATION_NTAR_ID,0))</f>
        <v/>
      </c>
      <c r="H24" s="1861"/>
      <c r="I24" s="1740"/>
      <c r="J24" s="1774"/>
      <c r="K24" s="1864"/>
      <c r="L24" s="1769" t="s">
        <v>301</v>
      </c>
      <c r="M24" s="218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1"/>
      <c r="B25" s="1781"/>
      <c r="C25" s="371" t="s">
        <v>1198</v>
      </c>
      <c r="D25" s="2489"/>
      <c r="E25" s="2227"/>
      <c r="F25" s="2493"/>
      <c r="G25" s="2452"/>
      <c r="H25" s="1502"/>
      <c r="I25" s="653" t="s">
        <v>1199</v>
      </c>
      <c r="J25" s="573"/>
      <c r="K25" s="1502"/>
      <c r="L25" s="216"/>
      <c r="M25" s="2185"/>
      <c r="N25" s="336"/>
      <c r="O25" s="1626"/>
      <c r="P25" s="1626"/>
      <c r="AH25" s="1633">
        <v>0</v>
      </c>
    </row>
    <row customHeight="1" ht="0.75" hidden="1">
      <c r="A26" s="1781"/>
      <c r="B26" s="1781"/>
      <c r="C26" s="371" t="s">
        <v>1204</v>
      </c>
      <c r="D26" s="2489"/>
      <c r="E26" s="2227"/>
      <c r="F26" s="2402"/>
      <c r="G26" s="402"/>
      <c r="H26" s="1502"/>
      <c r="I26" s="397"/>
      <c r="J26" s="351"/>
      <c r="K26" s="1502"/>
      <c r="L26" s="203"/>
      <c r="M26" s="2185"/>
      <c r="N26" s="336"/>
      <c r="AH26" s="376">
        <v>0</v>
      </c>
    </row>
    <row s="1637" customFormat="1" customHeight="1" ht="45" hidden="1">
      <c r="A27" s="1781" t="s">
        <v>157</v>
      </c>
      <c r="B27" s="1781" t="s">
        <v>158</v>
      </c>
      <c r="C27" s="371"/>
      <c r="D27" s="2487"/>
      <c r="E27" s="2494"/>
      <c r="F27" s="2495" t="str">
        <f>INDEX(PT_DIFFERENTIATION_VTAR,MATCH(A27,PT_DIFFERENTIATION_VTAR_ID,0))</f>
        <v/>
      </c>
      <c r="G27" s="2452" t="str">
        <f>INDEX(PT_DIFFERENTIATION_NTAR,MATCH(B27,PT_DIFFERENTIATION_NTAR_ID,0))</f>
        <v/>
      </c>
      <c r="H27" s="1861"/>
      <c r="I27" s="1740"/>
      <c r="J27" s="1774"/>
      <c r="K27" s="1864"/>
      <c r="L27" s="1861" t="s">
        <v>301</v>
      </c>
      <c r="M27" s="2185"/>
      <c r="N27" s="336"/>
      <c r="O27" s="1626"/>
      <c r="P27" s="1626"/>
      <c r="AH27" s="1633">
        <v>0</v>
      </c>
    </row>
    <row s="1637" customFormat="1" customHeight="1" ht="18.75" hidden="1">
      <c r="A28" s="1781"/>
      <c r="B28" s="1781"/>
      <c r="C28" s="371" t="s">
        <v>1198</v>
      </c>
      <c r="D28" s="2487"/>
      <c r="E28" s="2494"/>
      <c r="F28" s="2495"/>
      <c r="G28" s="2452"/>
      <c r="H28" s="1502"/>
      <c r="I28" s="653" t="s">
        <v>1199</v>
      </c>
      <c r="J28" s="573"/>
      <c r="K28" s="1502"/>
      <c r="L28" s="216"/>
      <c r="M28" s="2185"/>
      <c r="N28" s="336"/>
      <c r="O28" s="1626"/>
      <c r="P28" s="1626"/>
      <c r="AH28" s="1633">
        <v>0</v>
      </c>
    </row>
    <row s="1637" customFormat="1" customHeight="1" ht="0.75" hidden="1">
      <c r="A29" s="1781"/>
      <c r="B29" s="1781"/>
      <c r="C29" s="371" t="s">
        <v>1204</v>
      </c>
      <c r="D29" s="2487"/>
      <c r="E29" s="2227"/>
      <c r="F29" s="2402"/>
      <c r="G29" s="402"/>
      <c r="H29" s="1502"/>
      <c r="I29" s="653"/>
      <c r="J29" s="573"/>
      <c r="K29" s="1502"/>
      <c r="L29" s="216"/>
      <c r="M29" s="2185"/>
      <c r="N29" s="336"/>
      <c r="O29" s="1626"/>
      <c r="P29" s="1626"/>
      <c r="AH29" s="1633">
        <v>0</v>
      </c>
    </row>
    <row s="1637" customFormat="1" customHeight="1" ht="45" hidden="1">
      <c r="A30" s="1781" t="s">
        <v>164</v>
      </c>
      <c r="B30" s="1781" t="s">
        <v>165</v>
      </c>
      <c r="C30" s="371"/>
      <c r="D30" s="2487"/>
      <c r="E30" s="2227"/>
      <c r="F30" s="240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52" t="str">
        <f>INDEX(PT_DIFFERENTIATION_NTAR,MATCH(B30,PT_DIFFERENTIATION_NTAR_ID,0))</f>
        <v/>
      </c>
      <c r="H30" s="1861"/>
      <c r="I30" s="1740"/>
      <c r="J30" s="1774"/>
      <c r="K30" s="1864"/>
      <c r="L30" s="1861" t="s">
        <v>301</v>
      </c>
      <c r="M30" s="2185"/>
      <c r="N30" s="336"/>
      <c r="O30" s="1626"/>
      <c r="P30" s="1626"/>
      <c r="AH30" s="1633">
        <v>0</v>
      </c>
    </row>
    <row s="1637" customFormat="1" customHeight="1" ht="18.75" hidden="1">
      <c r="A31" s="1781"/>
      <c r="B31" s="1781"/>
      <c r="C31" s="371" t="s">
        <v>1198</v>
      </c>
      <c r="D31" s="2487"/>
      <c r="E31" s="2227"/>
      <c r="F31" s="2402"/>
      <c r="G31" s="2452"/>
      <c r="H31" s="1502"/>
      <c r="I31" s="653" t="s">
        <v>1199</v>
      </c>
      <c r="J31" s="573"/>
      <c r="K31" s="1502"/>
      <c r="L31" s="216"/>
      <c r="M31" s="2185"/>
      <c r="N31" s="336"/>
      <c r="O31" s="1626"/>
      <c r="P31" s="1626"/>
      <c r="AH31" s="1633">
        <v>0</v>
      </c>
    </row>
    <row s="1637" customFormat="1" customHeight="1" ht="0.75" hidden="1">
      <c r="A32" s="1781"/>
      <c r="B32" s="1781"/>
      <c r="C32" s="371" t="s">
        <v>1204</v>
      </c>
      <c r="D32" s="2487"/>
      <c r="E32" s="2227"/>
      <c r="F32" s="2402"/>
      <c r="G32" s="402"/>
      <c r="H32" s="1502"/>
      <c r="I32" s="653"/>
      <c r="J32" s="573"/>
      <c r="K32" s="1502"/>
      <c r="L32" s="216"/>
      <c r="M32" s="2185"/>
      <c r="N32" s="336"/>
      <c r="O32" s="1626"/>
      <c r="P32" s="1626"/>
      <c r="AH32" s="1633">
        <v>0</v>
      </c>
    </row>
    <row s="1637" customFormat="1" customHeight="1" ht="45" hidden="1">
      <c r="A33" s="1781" t="s">
        <v>170</v>
      </c>
      <c r="B33" s="1781" t="s">
        <v>171</v>
      </c>
      <c r="C33" s="371"/>
      <c r="D33" s="2487"/>
      <c r="E33" s="2227"/>
      <c r="F33" s="240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52" t="str">
        <f>INDEX(PT_DIFFERENTIATION_NTAR,MATCH(B33,PT_DIFFERENTIATION_NTAR_ID,0))</f>
        <v/>
      </c>
      <c r="H33" s="1861"/>
      <c r="I33" s="1740"/>
      <c r="J33" s="1774"/>
      <c r="K33" s="1864"/>
      <c r="L33" s="1861" t="s">
        <v>301</v>
      </c>
      <c r="M33" s="2185"/>
      <c r="N33" s="336"/>
      <c r="O33" s="1626"/>
      <c r="P33" s="1626"/>
      <c r="AH33" s="1633">
        <v>0</v>
      </c>
    </row>
    <row s="1637" customFormat="1" customHeight="1" ht="18.75" hidden="1">
      <c r="A34" s="1781"/>
      <c r="B34" s="1781"/>
      <c r="C34" s="371" t="s">
        <v>1198</v>
      </c>
      <c r="D34" s="2487"/>
      <c r="E34" s="2227"/>
      <c r="F34" s="2402"/>
      <c r="G34" s="2452"/>
      <c r="H34" s="1502"/>
      <c r="I34" s="653" t="s">
        <v>1199</v>
      </c>
      <c r="J34" s="573"/>
      <c r="K34" s="1502"/>
      <c r="L34" s="216"/>
      <c r="M34" s="2185"/>
      <c r="N34" s="336"/>
      <c r="O34" s="1626"/>
      <c r="P34" s="1626"/>
      <c r="AH34" s="1633">
        <v>0</v>
      </c>
    </row>
    <row s="1637" customFormat="1" customHeight="1" ht="0.75" hidden="1">
      <c r="A35" s="1781"/>
      <c r="B35" s="1781"/>
      <c r="C35" s="371" t="s">
        <v>1204</v>
      </c>
      <c r="D35" s="2487"/>
      <c r="E35" s="2227"/>
      <c r="F35" s="2402"/>
      <c r="G35" s="402"/>
      <c r="H35" s="1502"/>
      <c r="I35" s="653"/>
      <c r="J35" s="573"/>
      <c r="K35" s="1502"/>
      <c r="L35" s="216"/>
      <c r="M35" s="2185"/>
      <c r="N35" s="336"/>
      <c r="O35" s="1626"/>
      <c r="P35" s="1626"/>
      <c r="AH35" s="1633">
        <v>0</v>
      </c>
    </row>
    <row s="1637" customFormat="1" customHeight="1" ht="18.75" hidden="1">
      <c r="A36" s="1781" t="s">
        <v>176</v>
      </c>
      <c r="B36" s="1781" t="s">
        <v>177</v>
      </c>
      <c r="C36" s="371"/>
      <c r="D36" s="2487"/>
      <c r="E36" s="2227"/>
      <c r="F36" s="2402" t="str">
        <f>INDEX(PT_DIFFERENTIATION_VTAR,MATCH(A36,PT_DIFFERENTIATION_VTAR_ID,0))</f>
        <v>Тарифы на услуги по передаче тепловой энергии</v>
      </c>
      <c r="G36" s="2452" t="str">
        <f>INDEX(PT_DIFFERENTIATION_NTAR,MATCH(B36,PT_DIFFERENTIATION_NTAR_ID,0))</f>
        <v/>
      </c>
      <c r="H36" s="1861"/>
      <c r="I36" s="1740"/>
      <c r="J36" s="1774"/>
      <c r="K36" s="1864"/>
      <c r="L36" s="1861" t="s">
        <v>301</v>
      </c>
      <c r="M36" s="2185"/>
      <c r="N36" s="336"/>
      <c r="O36" s="1626"/>
      <c r="P36" s="1626"/>
      <c r="AH36" s="1633">
        <v>0</v>
      </c>
    </row>
    <row s="1637" customFormat="1" customHeight="1" ht="18.75" hidden="1">
      <c r="A37" s="1781"/>
      <c r="B37" s="1781"/>
      <c r="C37" s="371" t="s">
        <v>1198</v>
      </c>
      <c r="D37" s="2487"/>
      <c r="E37" s="2227"/>
      <c r="F37" s="2402"/>
      <c r="G37" s="2452"/>
      <c r="H37" s="1502"/>
      <c r="I37" s="653" t="s">
        <v>1199</v>
      </c>
      <c r="J37" s="573"/>
      <c r="K37" s="1502"/>
      <c r="L37" s="216"/>
      <c r="M37" s="2185"/>
      <c r="N37" s="336"/>
      <c r="O37" s="1626"/>
      <c r="P37" s="1626"/>
      <c r="AH37" s="1633">
        <v>0</v>
      </c>
    </row>
    <row s="1637" customFormat="1" customHeight="1" ht="0.75" hidden="1">
      <c r="A38" s="1781"/>
      <c r="B38" s="1781"/>
      <c r="C38" s="371" t="s">
        <v>1204</v>
      </c>
      <c r="D38" s="2487"/>
      <c r="E38" s="2227"/>
      <c r="F38" s="2402"/>
      <c r="G38" s="402"/>
      <c r="H38" s="1502"/>
      <c r="I38" s="653"/>
      <c r="J38" s="573"/>
      <c r="K38" s="1502"/>
      <c r="L38" s="216"/>
      <c r="M38" s="2185"/>
      <c r="N38" s="336"/>
      <c r="O38" s="1626"/>
      <c r="P38" s="1626"/>
      <c r="AH38" s="1633">
        <v>0</v>
      </c>
    </row>
    <row s="1637" customFormat="1" customHeight="1" ht="18.75" hidden="1">
      <c r="A39" s="1781" t="s">
        <v>182</v>
      </c>
      <c r="B39" s="1781" t="s">
        <v>183</v>
      </c>
      <c r="C39" s="371"/>
      <c r="D39" s="2487"/>
      <c r="E39" s="2227"/>
      <c r="F39" s="2402" t="str">
        <f>INDEX(PT_DIFFERENTIATION_VTAR,MATCH(A39,PT_DIFFERENTIATION_VTAR_ID,0))</f>
        <v>Тарифы на услуги по передаче теплоносителя</v>
      </c>
      <c r="G39" s="2452" t="str">
        <f>INDEX(PT_DIFFERENTIATION_NTAR,MATCH(B39,PT_DIFFERENTIATION_NTAR_ID,0))</f>
        <v/>
      </c>
      <c r="H39" s="1861"/>
      <c r="I39" s="1740"/>
      <c r="J39" s="1774"/>
      <c r="K39" s="1864"/>
      <c r="L39" s="1861" t="s">
        <v>301</v>
      </c>
      <c r="M39" s="2185"/>
      <c r="N39" s="336"/>
      <c r="O39" s="1626"/>
      <c r="P39" s="1626"/>
      <c r="AH39" s="1633">
        <v>0</v>
      </c>
    </row>
    <row s="1637" customFormat="1" customHeight="1" ht="18.75" hidden="1">
      <c r="A40" s="1781"/>
      <c r="B40" s="1781"/>
      <c r="C40" s="371" t="s">
        <v>1198</v>
      </c>
      <c r="D40" s="2487"/>
      <c r="E40" s="2227"/>
      <c r="F40" s="2402"/>
      <c r="G40" s="2452"/>
      <c r="H40" s="1502"/>
      <c r="I40" s="653" t="s">
        <v>1199</v>
      </c>
      <c r="J40" s="573"/>
      <c r="K40" s="1502"/>
      <c r="L40" s="216"/>
      <c r="M40" s="2185"/>
      <c r="N40" s="336"/>
      <c r="O40" s="1626"/>
      <c r="P40" s="1626"/>
      <c r="AH40" s="1633">
        <v>0</v>
      </c>
    </row>
    <row s="1637" customFormat="1" customHeight="1" ht="0.75" hidden="1">
      <c r="A41" s="1781"/>
      <c r="B41" s="1781"/>
      <c r="C41" s="371" t="s">
        <v>1204</v>
      </c>
      <c r="D41" s="2487"/>
      <c r="E41" s="2227"/>
      <c r="F41" s="2402"/>
      <c r="G41" s="402"/>
      <c r="H41" s="1502"/>
      <c r="I41" s="653"/>
      <c r="J41" s="573"/>
      <c r="K41" s="1502"/>
      <c r="L41" s="216"/>
      <c r="M41" s="2185"/>
      <c r="N41" s="336"/>
      <c r="O41" s="1626"/>
      <c r="P41" s="1626"/>
      <c r="AH41" s="1633">
        <v>0</v>
      </c>
    </row>
    <row s="1637" customFormat="1" customHeight="1" ht="18.75" hidden="1">
      <c r="A42" s="1781" t="s">
        <v>188</v>
      </c>
      <c r="B42" s="1781" t="s">
        <v>189</v>
      </c>
      <c r="C42" s="371"/>
      <c r="D42" s="2487"/>
      <c r="E42" s="2227"/>
      <c r="F42" s="240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52" t="str">
        <f>INDEX(PT_DIFFERENTIATION_NTAR,MATCH(B42,PT_DIFFERENTIATION_NTAR_ID,0))</f>
        <v/>
      </c>
      <c r="H42" s="1861"/>
      <c r="I42" s="1740"/>
      <c r="J42" s="1774"/>
      <c r="K42" s="1864"/>
      <c r="L42" s="1861" t="s">
        <v>301</v>
      </c>
      <c r="M42" s="2185"/>
      <c r="N42" s="336"/>
      <c r="O42" s="1626"/>
      <c r="P42" s="1626"/>
      <c r="AH42" s="1633">
        <v>0</v>
      </c>
    </row>
    <row s="1637" customFormat="1" customHeight="1" ht="18.75" hidden="1">
      <c r="A43" s="1781"/>
      <c r="B43" s="1781"/>
      <c r="C43" s="371" t="s">
        <v>1198</v>
      </c>
      <c r="D43" s="2487"/>
      <c r="E43" s="2227"/>
      <c r="F43" s="2402"/>
      <c r="G43" s="2452"/>
      <c r="H43" s="1502"/>
      <c r="I43" s="653" t="s">
        <v>1199</v>
      </c>
      <c r="J43" s="573"/>
      <c r="K43" s="1502"/>
      <c r="L43" s="216"/>
      <c r="M43" s="2185"/>
      <c r="N43" s="336"/>
      <c r="O43" s="1626"/>
      <c r="P43" s="1626"/>
      <c r="AH43" s="1633">
        <v>0</v>
      </c>
    </row>
    <row s="1637" customFormat="1" customHeight="1" ht="0.75" hidden="1">
      <c r="A44" s="1781"/>
      <c r="B44" s="1781"/>
      <c r="C44" s="371" t="s">
        <v>1204</v>
      </c>
      <c r="D44" s="2487"/>
      <c r="E44" s="2227"/>
      <c r="F44" s="2402"/>
      <c r="G44" s="402"/>
      <c r="H44" s="1502"/>
      <c r="I44" s="653"/>
      <c r="J44" s="573"/>
      <c r="K44" s="1502"/>
      <c r="L44" s="216"/>
      <c r="M44" s="2185"/>
      <c r="N44" s="336"/>
      <c r="O44" s="1626"/>
      <c r="P44" s="1626"/>
      <c r="AH44" s="1633">
        <v>0</v>
      </c>
    </row>
    <row s="1637" customFormat="1" customHeight="1" ht="18.75" hidden="1">
      <c r="A45" s="1781" t="s">
        <v>194</v>
      </c>
      <c r="B45" s="1781" t="s">
        <v>195</v>
      </c>
      <c r="C45" s="371"/>
      <c r="D45" s="2487"/>
      <c r="E45" s="2227"/>
      <c r="F45" s="2402" t="str">
        <f>INDEX(PT_DIFFERENTIATION_VTAR,MATCH(A45,PT_DIFFERENTIATION_VTAR_ID,0))</f>
        <v>Плата за подключение (технологическое присоединение) к системе теплоснабжения</v>
      </c>
      <c r="G45" s="2452" t="str">
        <f>INDEX(PT_DIFFERENTIATION_NTAR,MATCH(B45,PT_DIFFERENTIATION_NTAR_ID,0))</f>
        <v/>
      </c>
      <c r="H45" s="1861"/>
      <c r="I45" s="2098"/>
      <c r="J45" s="2099"/>
      <c r="K45" s="557"/>
      <c r="L45" s="1861" t="s">
        <v>301</v>
      </c>
      <c r="M45" s="2185"/>
      <c r="N45" s="336"/>
      <c r="O45" s="1626"/>
      <c r="P45" s="1626"/>
      <c r="AH45" s="1633">
        <v>0</v>
      </c>
    </row>
    <row s="1637" customFormat="1" customHeight="1" ht="18.75" hidden="1">
      <c r="A46" s="1781"/>
      <c r="B46" s="1781"/>
      <c r="C46" s="371" t="s">
        <v>1198</v>
      </c>
      <c r="D46" s="2487"/>
      <c r="E46" s="2227"/>
      <c r="F46" s="2402"/>
      <c r="G46" s="2452"/>
      <c r="H46" s="1502"/>
      <c r="I46" s="653" t="s">
        <v>1199</v>
      </c>
      <c r="J46" s="573"/>
      <c r="K46" s="1502"/>
      <c r="L46" s="216"/>
      <c r="M46" s="2185"/>
      <c r="N46" s="336"/>
      <c r="O46" s="1626"/>
      <c r="P46" s="1626"/>
      <c r="AH46" s="1633">
        <v>0</v>
      </c>
    </row>
    <row s="1637" customFormat="1" customHeight="1" ht="0.75" hidden="1">
      <c r="A47" s="1781"/>
      <c r="B47" s="1781"/>
      <c r="C47" s="371" t="s">
        <v>1204</v>
      </c>
      <c r="D47" s="2487"/>
      <c r="E47" s="2227"/>
      <c r="F47" s="2402"/>
      <c r="G47" s="402"/>
      <c r="H47" s="1502"/>
      <c r="I47" s="653"/>
      <c r="J47" s="573"/>
      <c r="K47" s="1502"/>
      <c r="L47" s="216"/>
      <c r="M47" s="2185"/>
      <c r="N47" s="336"/>
      <c r="O47" s="1626"/>
      <c r="P47" s="1626"/>
      <c r="AH47" s="1633">
        <v>0</v>
      </c>
    </row>
    <row s="1637" customFormat="1" customHeight="1" ht="18.75" hidden="1">
      <c r="A48" s="1781" t="s">
        <v>200</v>
      </c>
      <c r="B48" s="1781" t="s">
        <v>201</v>
      </c>
      <c r="C48" s="371"/>
      <c r="D48" s="2487"/>
      <c r="E48" s="2227"/>
      <c r="F48" s="2402" t="str">
        <f>INDEX(PT_DIFFERENTIATION_VTAR,MATCH(A48,PT_DIFFERENTIATION_VTAR_ID,0))</f>
        <v>Плата за подключение (технологическое присоединение) к системе теплоснабжения (индивидуальная)</v>
      </c>
      <c r="G48" s="2452" t="str">
        <f>INDEX(PT_DIFFERENTIATION_NTAR,MATCH(B48,PT_DIFFERENTIATION_NTAR_ID,0))</f>
        <v/>
      </c>
      <c r="H48" s="1988"/>
      <c r="I48" s="2098"/>
      <c r="J48" s="2099"/>
      <c r="K48" s="557"/>
      <c r="L48" s="1988" t="s">
        <v>301</v>
      </c>
      <c r="M48" s="2185"/>
      <c r="N48" s="336"/>
      <c r="O48" s="1626"/>
      <c r="P48" s="1626"/>
      <c r="AH48" s="1633">
        <v>0</v>
      </c>
    </row>
    <row s="1637" customFormat="1" customHeight="1" ht="18.75" hidden="1">
      <c r="A49" s="1781"/>
      <c r="B49" s="1781"/>
      <c r="C49" s="371" t="s">
        <v>1198</v>
      </c>
      <c r="D49" s="2487"/>
      <c r="E49" s="2227"/>
      <c r="F49" s="2402"/>
      <c r="G49" s="2452"/>
      <c r="H49" s="1502"/>
      <c r="I49" s="653" t="s">
        <v>1199</v>
      </c>
      <c r="J49" s="573"/>
      <c r="K49" s="1502"/>
      <c r="L49" s="216"/>
      <c r="M49" s="2185"/>
      <c r="N49" s="336"/>
      <c r="O49" s="1626"/>
      <c r="P49" s="1626"/>
      <c r="AH49" s="1633">
        <v>0</v>
      </c>
    </row>
    <row s="1637" customFormat="1" customHeight="1" ht="0.75" hidden="1">
      <c r="A50" s="1781"/>
      <c r="B50" s="1781"/>
      <c r="C50" s="371" t="s">
        <v>1204</v>
      </c>
      <c r="D50" s="2487"/>
      <c r="E50" s="2227"/>
      <c r="F50" s="2402"/>
      <c r="G50" s="402"/>
      <c r="H50" s="1502"/>
      <c r="I50" s="653"/>
      <c r="J50" s="573"/>
      <c r="K50" s="1502"/>
      <c r="L50" s="216"/>
      <c r="M50" s="2185"/>
      <c r="N50" s="336"/>
      <c r="O50" s="1626"/>
      <c r="P50" s="1626"/>
      <c r="AH50" s="1633">
        <v>0</v>
      </c>
    </row>
    <row s="1637" customFormat="1" customHeight="1" ht="18.75" hidden="1">
      <c r="A51" s="1781" t="s">
        <v>220</v>
      </c>
      <c r="B51" s="1781" t="s">
        <v>221</v>
      </c>
      <c r="C51" s="371"/>
      <c r="D51" s="2487"/>
      <c r="E51" s="2227"/>
      <c r="F51" s="2402" t="str">
        <f>INDEX(PT_DIFFERENTIATION_VTAR,MATCH(A51,PT_DIFFERENTIATION_VTAR_ID,0))</f>
        <v>Тариф на питьевую воду (питьевое водоснабжение)</v>
      </c>
      <c r="G51" s="2452" t="str">
        <f>INDEX(PT_DIFFERENTIATION_NTAR,MATCH(B51,PT_DIFFERENTIATION_NTAR_ID,0))</f>
        <v/>
      </c>
      <c r="H51" s="1861"/>
      <c r="I51" s="1740"/>
      <c r="J51" s="1774"/>
      <c r="K51" s="1864"/>
      <c r="L51" s="1861" t="s">
        <v>301</v>
      </c>
      <c r="M51" s="2185"/>
      <c r="N51" s="336"/>
      <c r="O51" s="1626"/>
      <c r="P51" s="1626"/>
      <c r="AH51" s="1633">
        <v>0</v>
      </c>
    </row>
    <row s="1637" customFormat="1" customHeight="1" ht="18.75" hidden="1">
      <c r="A52" s="1781"/>
      <c r="B52" s="1781"/>
      <c r="C52" s="371" t="s">
        <v>1198</v>
      </c>
      <c r="D52" s="2487"/>
      <c r="E52" s="2227"/>
      <c r="F52" s="2402"/>
      <c r="G52" s="2452"/>
      <c r="H52" s="1502"/>
      <c r="I52" s="653" t="s">
        <v>1199</v>
      </c>
      <c r="J52" s="573"/>
      <c r="K52" s="1502"/>
      <c r="L52" s="216"/>
      <c r="M52" s="2185"/>
      <c r="N52" s="336"/>
      <c r="O52" s="1626"/>
      <c r="P52" s="1626"/>
      <c r="AH52" s="1633">
        <v>0</v>
      </c>
    </row>
    <row s="1637" customFormat="1" customHeight="1" ht="0.75" hidden="1">
      <c r="A53" s="1781"/>
      <c r="B53" s="1781"/>
      <c r="C53" s="371" t="s">
        <v>1204</v>
      </c>
      <c r="D53" s="2487"/>
      <c r="E53" s="2227"/>
      <c r="F53" s="2402"/>
      <c r="G53" s="402"/>
      <c r="H53" s="1502"/>
      <c r="I53" s="653"/>
      <c r="J53" s="573"/>
      <c r="K53" s="1502"/>
      <c r="L53" s="216"/>
      <c r="M53" s="2185"/>
      <c r="N53" s="336"/>
      <c r="O53" s="1626"/>
      <c r="P53" s="1626"/>
      <c r="AH53" s="1633">
        <v>0</v>
      </c>
    </row>
    <row s="1637" customFormat="1" customHeight="1" ht="18.75" hidden="1">
      <c r="A54" s="1781" t="s">
        <v>225</v>
      </c>
      <c r="B54" s="1781" t="s">
        <v>226</v>
      </c>
      <c r="C54" s="371"/>
      <c r="D54" s="2487"/>
      <c r="E54" s="2227"/>
      <c r="F54" s="2402" t="str">
        <f>INDEX(PT_DIFFERENTIATION_VTAR,MATCH(A54,PT_DIFFERENTIATION_VTAR_ID,0))</f>
        <v>Тариф на техническую воду</v>
      </c>
      <c r="G54" s="2452" t="str">
        <f>INDEX(PT_DIFFERENTIATION_NTAR,MATCH(B54,PT_DIFFERENTIATION_NTAR_ID,0))</f>
        <v/>
      </c>
      <c r="H54" s="1861"/>
      <c r="I54" s="1740"/>
      <c r="J54" s="1774"/>
      <c r="K54" s="1864"/>
      <c r="L54" s="1861" t="s">
        <v>301</v>
      </c>
      <c r="M54" s="2185"/>
      <c r="N54" s="336"/>
      <c r="O54" s="1626"/>
      <c r="P54" s="1626"/>
      <c r="AH54" s="1633">
        <v>0</v>
      </c>
    </row>
    <row s="1637" customFormat="1" customHeight="1" ht="18.75" hidden="1">
      <c r="A55" s="1781"/>
      <c r="B55" s="1781"/>
      <c r="C55" s="371" t="s">
        <v>1198</v>
      </c>
      <c r="D55" s="2487"/>
      <c r="E55" s="2227"/>
      <c r="F55" s="2402"/>
      <c r="G55" s="2452"/>
      <c r="H55" s="1502"/>
      <c r="I55" s="653" t="s">
        <v>1199</v>
      </c>
      <c r="J55" s="573"/>
      <c r="K55" s="1502"/>
      <c r="L55" s="216"/>
      <c r="M55" s="2185"/>
      <c r="N55" s="336"/>
      <c r="O55" s="1626"/>
      <c r="P55" s="1626"/>
      <c r="AH55" s="1633">
        <v>0</v>
      </c>
    </row>
    <row s="1637" customFormat="1" customHeight="1" ht="0.75" hidden="1">
      <c r="A56" s="1781"/>
      <c r="B56" s="1781"/>
      <c r="C56" s="371" t="s">
        <v>1204</v>
      </c>
      <c r="D56" s="2487"/>
      <c r="E56" s="2227"/>
      <c r="F56" s="2402"/>
      <c r="G56" s="402"/>
      <c r="H56" s="1502"/>
      <c r="I56" s="653"/>
      <c r="J56" s="573"/>
      <c r="K56" s="1502"/>
      <c r="L56" s="216"/>
      <c r="M56" s="2185"/>
      <c r="N56" s="336"/>
      <c r="O56" s="1626"/>
      <c r="P56" s="1626"/>
      <c r="AH56" s="1633">
        <v>0</v>
      </c>
    </row>
    <row s="1637" customFormat="1" customHeight="1" ht="18.75" hidden="1">
      <c r="A57" s="1781" t="s">
        <v>230</v>
      </c>
      <c r="B57" s="1781" t="s">
        <v>231</v>
      </c>
      <c r="C57" s="371"/>
      <c r="D57" s="2487"/>
      <c r="E57" s="2227"/>
      <c r="F57" s="2402" t="str">
        <f>INDEX(PT_DIFFERENTIATION_VTAR,MATCH(A57,PT_DIFFERENTIATION_VTAR_ID,0))</f>
        <v>Тариф на транспортировку воды</v>
      </c>
      <c r="G57" s="2452" t="str">
        <f>INDEX(PT_DIFFERENTIATION_NTAR,MATCH(B57,PT_DIFFERENTIATION_NTAR_ID,0))</f>
        <v/>
      </c>
      <c r="H57" s="1861"/>
      <c r="I57" s="1740"/>
      <c r="J57" s="1774"/>
      <c r="K57" s="1864"/>
      <c r="L57" s="1861" t="s">
        <v>301</v>
      </c>
      <c r="M57" s="2185"/>
      <c r="N57" s="336"/>
      <c r="O57" s="1626"/>
      <c r="P57" s="1626"/>
      <c r="AH57" s="1633">
        <v>0</v>
      </c>
    </row>
    <row s="1637" customFormat="1" customHeight="1" ht="18.75" hidden="1">
      <c r="A58" s="1781"/>
      <c r="B58" s="1781"/>
      <c r="C58" s="371" t="s">
        <v>1198</v>
      </c>
      <c r="D58" s="2487"/>
      <c r="E58" s="2227"/>
      <c r="F58" s="2402"/>
      <c r="G58" s="2452"/>
      <c r="H58" s="1502"/>
      <c r="I58" s="653" t="s">
        <v>1199</v>
      </c>
      <c r="J58" s="573"/>
      <c r="K58" s="1502"/>
      <c r="L58" s="216"/>
      <c r="M58" s="2185"/>
      <c r="N58" s="336"/>
      <c r="O58" s="1626"/>
      <c r="P58" s="1626"/>
      <c r="AH58" s="1633">
        <v>0</v>
      </c>
    </row>
    <row s="1637" customFormat="1" customHeight="1" ht="0.75" hidden="1">
      <c r="A59" s="1781"/>
      <c r="B59" s="1781"/>
      <c r="C59" s="371" t="s">
        <v>1204</v>
      </c>
      <c r="D59" s="2487"/>
      <c r="E59" s="2227"/>
      <c r="F59" s="2402"/>
      <c r="G59" s="402"/>
      <c r="H59" s="1502"/>
      <c r="I59" s="653"/>
      <c r="J59" s="573"/>
      <c r="K59" s="1502"/>
      <c r="L59" s="216"/>
      <c r="M59" s="2185"/>
      <c r="N59" s="336"/>
      <c r="O59" s="1626"/>
      <c r="P59" s="1626"/>
      <c r="AH59" s="1633">
        <v>0</v>
      </c>
    </row>
    <row s="1637" customFormat="1" customHeight="1" ht="18.75" hidden="1">
      <c r="A60" s="1781" t="s">
        <v>235</v>
      </c>
      <c r="B60" s="1781" t="s">
        <v>236</v>
      </c>
      <c r="C60" s="371"/>
      <c r="D60" s="2487"/>
      <c r="E60" s="2227"/>
      <c r="F60" s="2402" t="str">
        <f>INDEX(PT_DIFFERENTIATION_VTAR,MATCH(A60,PT_DIFFERENTIATION_VTAR_ID,0))</f>
        <v>Тариф на подвоз воды</v>
      </c>
      <c r="G60" s="2452" t="str">
        <f>INDEX(PT_DIFFERENTIATION_NTAR,MATCH(B60,PT_DIFFERENTIATION_NTAR_ID,0))</f>
        <v/>
      </c>
      <c r="H60" s="1861"/>
      <c r="I60" s="1740"/>
      <c r="J60" s="1774"/>
      <c r="K60" s="1864"/>
      <c r="L60" s="1861" t="s">
        <v>301</v>
      </c>
      <c r="M60" s="2185"/>
      <c r="N60" s="336"/>
      <c r="O60" s="1626"/>
      <c r="P60" s="1626"/>
      <c r="AH60" s="1633">
        <v>0</v>
      </c>
    </row>
    <row s="1637" customFormat="1" customHeight="1" ht="18.75" hidden="1">
      <c r="A61" s="1781"/>
      <c r="B61" s="1781"/>
      <c r="C61" s="371" t="s">
        <v>1198</v>
      </c>
      <c r="D61" s="2487"/>
      <c r="E61" s="2227"/>
      <c r="F61" s="2402"/>
      <c r="G61" s="2452"/>
      <c r="H61" s="1502"/>
      <c r="I61" s="653" t="s">
        <v>1199</v>
      </c>
      <c r="J61" s="573"/>
      <c r="K61" s="1502"/>
      <c r="L61" s="216"/>
      <c r="M61" s="2185"/>
      <c r="N61" s="336"/>
      <c r="O61" s="1626"/>
      <c r="P61" s="1626"/>
      <c r="AH61" s="1633">
        <v>0</v>
      </c>
    </row>
    <row s="1637" customFormat="1" customHeight="1" ht="0.75" hidden="1">
      <c r="A62" s="1781"/>
      <c r="B62" s="1781"/>
      <c r="C62" s="371" t="s">
        <v>1204</v>
      </c>
      <c r="D62" s="2487"/>
      <c r="E62" s="2227"/>
      <c r="F62" s="2402"/>
      <c r="G62" s="402"/>
      <c r="H62" s="1502"/>
      <c r="I62" s="653"/>
      <c r="J62" s="573"/>
      <c r="K62" s="1502"/>
      <c r="L62" s="216"/>
      <c r="M62" s="2185"/>
      <c r="N62" s="336"/>
      <c r="O62" s="1626"/>
      <c r="P62" s="1626"/>
      <c r="AH62" s="1633">
        <v>0</v>
      </c>
    </row>
    <row s="1637" customFormat="1" customHeight="1" ht="18.75" hidden="1">
      <c r="A63" s="1781" t="s">
        <v>240</v>
      </c>
      <c r="B63" s="1781" t="s">
        <v>241</v>
      </c>
      <c r="C63" s="371"/>
      <c r="D63" s="2487"/>
      <c r="E63" s="2227"/>
      <c r="F63" s="240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52" t="str">
        <f>INDEX(PT_DIFFERENTIATION_NTAR,MATCH(B63,PT_DIFFERENTIATION_NTAR_ID,0))</f>
        <v/>
      </c>
      <c r="H63" s="1861"/>
      <c r="I63" s="2098"/>
      <c r="J63" s="2099"/>
      <c r="K63" s="557"/>
      <c r="L63" s="1861" t="s">
        <v>301</v>
      </c>
      <c r="M63" s="2185"/>
      <c r="N63" s="336"/>
      <c r="O63" s="1626"/>
      <c r="P63" s="1626"/>
      <c r="AH63" s="1633">
        <v>0</v>
      </c>
    </row>
    <row s="1637" customFormat="1" customHeight="1" ht="18.75" hidden="1">
      <c r="A64" s="1781"/>
      <c r="B64" s="1781"/>
      <c r="C64" s="371" t="s">
        <v>1198</v>
      </c>
      <c r="D64" s="2487"/>
      <c r="E64" s="2227"/>
      <c r="F64" s="2402"/>
      <c r="G64" s="2452"/>
      <c r="H64" s="1502"/>
      <c r="I64" s="653" t="s">
        <v>1199</v>
      </c>
      <c r="J64" s="573"/>
      <c r="K64" s="1502"/>
      <c r="L64" s="216"/>
      <c r="M64" s="2185"/>
      <c r="N64" s="336"/>
      <c r="O64" s="1626"/>
      <c r="P64" s="1626"/>
      <c r="AH64" s="1633">
        <v>0</v>
      </c>
    </row>
    <row s="1637" customFormat="1" customHeight="1" ht="0.75" hidden="1">
      <c r="A65" s="1781"/>
      <c r="B65" s="1781"/>
      <c r="C65" s="371" t="s">
        <v>1204</v>
      </c>
      <c r="D65" s="2487"/>
      <c r="E65" s="2227"/>
      <c r="F65" s="2402"/>
      <c r="G65" s="402"/>
      <c r="H65" s="1502"/>
      <c r="I65" s="653"/>
      <c r="J65" s="573"/>
      <c r="K65" s="1502"/>
      <c r="L65" s="216"/>
      <c r="M65" s="2185"/>
      <c r="N65" s="336"/>
      <c r="O65" s="1626"/>
      <c r="P65" s="1626"/>
      <c r="AH65" s="1633">
        <v>0</v>
      </c>
    </row>
    <row s="1637" customFormat="1" customHeight="1" ht="18.75" hidden="1">
      <c r="A66" s="1781" t="s">
        <v>245</v>
      </c>
      <c r="B66" s="1781" t="s">
        <v>246</v>
      </c>
      <c r="C66" s="371"/>
      <c r="D66" s="2487"/>
      <c r="E66" s="2227"/>
      <c r="F66" s="2402" t="str">
        <f>INDEX(PT_DIFFERENTIATION_VTAR,MATCH(A66,PT_DIFFERENTIATION_VTAR_ID,0))</f>
        <v>Тариф на горячую воду (горячее водоснабжение)</v>
      </c>
      <c r="G66" s="2452" t="str">
        <f>INDEX(PT_DIFFERENTIATION_NTAR,MATCH(B66,PT_DIFFERENTIATION_NTAR_ID,0))</f>
        <v/>
      </c>
      <c r="H66" s="1861"/>
      <c r="I66" s="1740"/>
      <c r="J66" s="1774"/>
      <c r="K66" s="1864"/>
      <c r="L66" s="1861" t="s">
        <v>301</v>
      </c>
      <c r="M66" s="2185"/>
      <c r="N66" s="336"/>
      <c r="O66" s="1626"/>
      <c r="P66" s="1626"/>
      <c r="AH66" s="1633">
        <v>0</v>
      </c>
    </row>
    <row s="1637" customFormat="1" customHeight="1" ht="18.75" hidden="1">
      <c r="A67" s="1781"/>
      <c r="B67" s="1781"/>
      <c r="C67" s="371" t="s">
        <v>1198</v>
      </c>
      <c r="D67" s="2487"/>
      <c r="E67" s="2227"/>
      <c r="F67" s="2402"/>
      <c r="G67" s="2452"/>
      <c r="H67" s="1502"/>
      <c r="I67" s="653" t="s">
        <v>1199</v>
      </c>
      <c r="J67" s="573"/>
      <c r="K67" s="1502"/>
      <c r="L67" s="216"/>
      <c r="M67" s="2185"/>
      <c r="N67" s="336"/>
      <c r="O67" s="1626"/>
      <c r="P67" s="1626"/>
      <c r="AH67" s="1633">
        <v>0</v>
      </c>
    </row>
    <row s="1637" customFormat="1" customHeight="1" ht="0.75" hidden="1">
      <c r="A68" s="1781"/>
      <c r="B68" s="1781"/>
      <c r="C68" s="371" t="s">
        <v>1204</v>
      </c>
      <c r="D68" s="2487"/>
      <c r="E68" s="2227"/>
      <c r="F68" s="2402"/>
      <c r="G68" s="402"/>
      <c r="H68" s="1502"/>
      <c r="I68" s="653"/>
      <c r="J68" s="573"/>
      <c r="K68" s="1502"/>
      <c r="L68" s="216"/>
      <c r="M68" s="2185"/>
      <c r="N68" s="336"/>
      <c r="O68" s="1626"/>
      <c r="P68" s="1626"/>
      <c r="AH68" s="1633">
        <v>0</v>
      </c>
    </row>
    <row s="1637" customFormat="1" customHeight="1" ht="18.75" hidden="1">
      <c r="A69" s="1781" t="s">
        <v>250</v>
      </c>
      <c r="B69" s="1781" t="s">
        <v>251</v>
      </c>
      <c r="C69" s="371"/>
      <c r="D69" s="2487"/>
      <c r="E69" s="2227"/>
      <c r="F69" s="2402" t="str">
        <f>INDEX(PT_DIFFERENTIATION_VTAR,MATCH(A69,PT_DIFFERENTIATION_VTAR_ID,0))</f>
        <v>Тариф на транспортировку горячей воды</v>
      </c>
      <c r="G69" s="2452" t="str">
        <f>INDEX(PT_DIFFERENTIATION_NTAR,MATCH(B69,PT_DIFFERENTIATION_NTAR_ID,0))</f>
        <v/>
      </c>
      <c r="H69" s="1861"/>
      <c r="I69" s="1740"/>
      <c r="J69" s="1774"/>
      <c r="K69" s="1864"/>
      <c r="L69" s="1861" t="s">
        <v>301</v>
      </c>
      <c r="M69" s="2185"/>
      <c r="N69" s="336"/>
      <c r="O69" s="1626"/>
      <c r="P69" s="1626"/>
      <c r="AH69" s="1633">
        <v>0</v>
      </c>
    </row>
    <row s="1637" customFormat="1" customHeight="1" ht="18.75" hidden="1">
      <c r="A70" s="1781"/>
      <c r="B70" s="1781"/>
      <c r="C70" s="371" t="s">
        <v>1198</v>
      </c>
      <c r="D70" s="2487"/>
      <c r="E70" s="2227"/>
      <c r="F70" s="2402"/>
      <c r="G70" s="2452"/>
      <c r="H70" s="1502"/>
      <c r="I70" s="653" t="s">
        <v>1199</v>
      </c>
      <c r="J70" s="573"/>
      <c r="K70" s="1502"/>
      <c r="L70" s="216"/>
      <c r="M70" s="2185"/>
      <c r="N70" s="336"/>
      <c r="O70" s="1626"/>
      <c r="P70" s="1626"/>
      <c r="AH70" s="1633">
        <v>0</v>
      </c>
    </row>
    <row s="1637" customFormat="1" customHeight="1" ht="0.75" hidden="1">
      <c r="A71" s="1781"/>
      <c r="B71" s="1781"/>
      <c r="C71" s="371" t="s">
        <v>1204</v>
      </c>
      <c r="D71" s="2487"/>
      <c r="E71" s="2227"/>
      <c r="F71" s="2402"/>
      <c r="G71" s="402"/>
      <c r="H71" s="1502"/>
      <c r="I71" s="653"/>
      <c r="J71" s="573"/>
      <c r="K71" s="1502"/>
      <c r="L71" s="216"/>
      <c r="M71" s="2185"/>
      <c r="N71" s="336"/>
      <c r="O71" s="1626"/>
      <c r="P71" s="1626"/>
      <c r="AH71" s="1633">
        <v>0</v>
      </c>
    </row>
    <row s="1637" customFormat="1" customHeight="1" ht="18.75" hidden="1">
      <c r="A72" s="1781" t="s">
        <v>255</v>
      </c>
      <c r="B72" s="1781" t="s">
        <v>256</v>
      </c>
      <c r="C72" s="371"/>
      <c r="D72" s="2487"/>
      <c r="E72" s="2227"/>
      <c r="F72" s="2402" t="str">
        <f>INDEX(PT_DIFFERENTIATION_VTAR,MATCH(A72,PT_DIFFERENTIATION_VTAR_ID,0))</f>
        <v>Тариф на подключение (технологическое присоединение) к централизованной системе горячего водоснабжения</v>
      </c>
      <c r="G72" s="2452" t="str">
        <f>INDEX(PT_DIFFERENTIATION_NTAR,MATCH(B72,PT_DIFFERENTIATION_NTAR_ID,0))</f>
        <v/>
      </c>
      <c r="H72" s="1861"/>
      <c r="I72" s="2098"/>
      <c r="J72" s="2099"/>
      <c r="K72" s="557"/>
      <c r="L72" s="1861" t="s">
        <v>301</v>
      </c>
      <c r="M72" s="2185"/>
      <c r="N72" s="336"/>
      <c r="O72" s="1626"/>
      <c r="P72" s="1626"/>
      <c r="AH72" s="1633">
        <v>0</v>
      </c>
    </row>
    <row s="1637" customFormat="1" customHeight="1" ht="18.75" hidden="1">
      <c r="A73" s="1781"/>
      <c r="B73" s="1781"/>
      <c r="C73" s="371" t="s">
        <v>1198</v>
      </c>
      <c r="D73" s="2487"/>
      <c r="E73" s="2227"/>
      <c r="F73" s="2402"/>
      <c r="G73" s="2452"/>
      <c r="H73" s="1502"/>
      <c r="I73" s="653" t="s">
        <v>1199</v>
      </c>
      <c r="J73" s="573"/>
      <c r="K73" s="1502"/>
      <c r="L73" s="216"/>
      <c r="M73" s="2185"/>
      <c r="N73" s="336"/>
      <c r="O73" s="1626"/>
      <c r="P73" s="1626"/>
      <c r="AH73" s="1633">
        <v>0</v>
      </c>
    </row>
    <row s="1637" customFormat="1" customHeight="1" ht="0.75" hidden="1">
      <c r="A74" s="1781"/>
      <c r="B74" s="1781"/>
      <c r="C74" s="371" t="s">
        <v>1204</v>
      </c>
      <c r="D74" s="2487"/>
      <c r="E74" s="2227"/>
      <c r="F74" s="2402"/>
      <c r="G74" s="402"/>
      <c r="H74" s="1502"/>
      <c r="I74" s="653"/>
      <c r="J74" s="573"/>
      <c r="K74" s="1502"/>
      <c r="L74" s="216"/>
      <c r="M74" s="2185"/>
      <c r="N74" s="336"/>
      <c r="O74" s="1626"/>
      <c r="P74" s="1626"/>
      <c r="AH74" s="1633">
        <v>0</v>
      </c>
    </row>
    <row s="1637" customFormat="1" customHeight="1" ht="18.75" hidden="1">
      <c r="A75" s="1781" t="s">
        <v>260</v>
      </c>
      <c r="B75" s="1781" t="s">
        <v>261</v>
      </c>
      <c r="C75" s="371"/>
      <c r="D75" s="2487"/>
      <c r="E75" s="2227"/>
      <c r="F75" s="2402" t="str">
        <f>INDEX(PT_DIFFERENTIATION_VTAR,MATCH(A75,PT_DIFFERENTIATION_VTAR_ID,0))</f>
        <v>Тариф на водоотведение</v>
      </c>
      <c r="G75" s="2452" t="str">
        <f>INDEX(PT_DIFFERENTIATION_NTAR,MATCH(B75,PT_DIFFERENTIATION_NTAR_ID,0))</f>
        <v/>
      </c>
      <c r="H75" s="1861"/>
      <c r="I75" s="1740"/>
      <c r="J75" s="1774"/>
      <c r="K75" s="1864"/>
      <c r="L75" s="1861" t="s">
        <v>301</v>
      </c>
      <c r="M75" s="2185"/>
      <c r="N75" s="336"/>
      <c r="O75" s="1626"/>
      <c r="P75" s="1626"/>
      <c r="AH75" s="1633">
        <v>0</v>
      </c>
    </row>
    <row s="1637" customFormat="1" customHeight="1" ht="18.75" hidden="1">
      <c r="A76" s="1781"/>
      <c r="B76" s="1781"/>
      <c r="C76" s="371" t="s">
        <v>1198</v>
      </c>
      <c r="D76" s="2487"/>
      <c r="E76" s="2227"/>
      <c r="F76" s="2402"/>
      <c r="G76" s="2452"/>
      <c r="H76" s="1502"/>
      <c r="I76" s="653" t="s">
        <v>1199</v>
      </c>
      <c r="J76" s="573"/>
      <c r="K76" s="1502"/>
      <c r="L76" s="216"/>
      <c r="M76" s="2185"/>
      <c r="N76" s="336"/>
      <c r="O76" s="1626"/>
      <c r="P76" s="1626"/>
      <c r="AH76" s="1633">
        <v>0</v>
      </c>
    </row>
    <row s="1637" customFormat="1" customHeight="1" ht="0.75" hidden="1">
      <c r="A77" s="1781"/>
      <c r="B77" s="1781"/>
      <c r="C77" s="371" t="s">
        <v>1204</v>
      </c>
      <c r="D77" s="2487"/>
      <c r="E77" s="2227"/>
      <c r="F77" s="2402"/>
      <c r="G77" s="402"/>
      <c r="H77" s="1502"/>
      <c r="I77" s="653"/>
      <c r="J77" s="573"/>
      <c r="K77" s="1502"/>
      <c r="L77" s="216"/>
      <c r="M77" s="2185"/>
      <c r="N77" s="336"/>
      <c r="O77" s="1626"/>
      <c r="P77" s="1626"/>
      <c r="AH77" s="1633">
        <v>0</v>
      </c>
    </row>
    <row s="1637" customFormat="1" customHeight="1" ht="18.75" hidden="1">
      <c r="A78" s="1781" t="s">
        <v>265</v>
      </c>
      <c r="B78" s="1781" t="s">
        <v>266</v>
      </c>
      <c r="C78" s="371"/>
      <c r="D78" s="2487"/>
      <c r="E78" s="2227"/>
      <c r="F78" s="2402" t="str">
        <f>INDEX(PT_DIFFERENTIATION_VTAR,MATCH(A78,PT_DIFFERENTIATION_VTAR_ID,0))</f>
        <v>Тариф на транспортировку сточных вод</v>
      </c>
      <c r="G78" s="2452" t="str">
        <f>INDEX(PT_DIFFERENTIATION_NTAR,MATCH(B78,PT_DIFFERENTIATION_NTAR_ID,0))</f>
        <v/>
      </c>
      <c r="H78" s="1861"/>
      <c r="I78" s="1740"/>
      <c r="J78" s="1774"/>
      <c r="K78" s="1864"/>
      <c r="L78" s="1861" t="s">
        <v>301</v>
      </c>
      <c r="M78" s="2185"/>
      <c r="N78" s="336"/>
      <c r="O78" s="1626"/>
      <c r="P78" s="1626"/>
      <c r="AH78" s="1633">
        <v>0</v>
      </c>
    </row>
    <row s="1637" customFormat="1" customHeight="1" ht="18.75" hidden="1">
      <c r="A79" s="1781"/>
      <c r="B79" s="1781"/>
      <c r="C79" s="371" t="s">
        <v>1198</v>
      </c>
      <c r="D79" s="2487"/>
      <c r="E79" s="2227"/>
      <c r="F79" s="2402"/>
      <c r="G79" s="2452"/>
      <c r="H79" s="1502"/>
      <c r="I79" s="653" t="s">
        <v>1199</v>
      </c>
      <c r="J79" s="573"/>
      <c r="K79" s="1502"/>
      <c r="L79" s="216"/>
      <c r="M79" s="2185"/>
      <c r="N79" s="336"/>
      <c r="O79" s="1626"/>
      <c r="P79" s="1626"/>
      <c r="AH79" s="1633">
        <v>0</v>
      </c>
    </row>
    <row s="1637" customFormat="1" customHeight="1" ht="0.75" hidden="1">
      <c r="A80" s="1781"/>
      <c r="B80" s="1781"/>
      <c r="C80" s="371" t="s">
        <v>1204</v>
      </c>
      <c r="D80" s="2487"/>
      <c r="E80" s="2227"/>
      <c r="F80" s="2402"/>
      <c r="G80" s="402"/>
      <c r="H80" s="1502"/>
      <c r="I80" s="653"/>
      <c r="J80" s="573"/>
      <c r="K80" s="1502"/>
      <c r="L80" s="216"/>
      <c r="M80" s="2185"/>
      <c r="N80" s="336"/>
      <c r="O80" s="1626"/>
      <c r="P80" s="1626"/>
      <c r="AH80" s="1633">
        <v>0</v>
      </c>
    </row>
    <row s="1637" customFormat="1" customHeight="1" ht="18.75" hidden="1">
      <c r="A81" s="1781" t="s">
        <v>270</v>
      </c>
      <c r="B81" s="1781" t="s">
        <v>271</v>
      </c>
      <c r="C81" s="371"/>
      <c r="D81" s="2487"/>
      <c r="E81" s="2227"/>
      <c r="F81" s="2402" t="str">
        <f>INDEX(PT_DIFFERENTIATION_VTAR,MATCH(A81,PT_DIFFERENTIATION_VTAR_ID,0))</f>
        <v>Тариф на подключение (технологическое присоединение) к централизованной системе водоотведения</v>
      </c>
      <c r="G81" s="2452" t="str">
        <f>INDEX(PT_DIFFERENTIATION_NTAR,MATCH(B81,PT_DIFFERENTIATION_NTAR_ID,0))</f>
        <v/>
      </c>
      <c r="H81" s="1861"/>
      <c r="I81" s="2098"/>
      <c r="J81" s="2099"/>
      <c r="K81" s="557"/>
      <c r="L81" s="1861" t="s">
        <v>301</v>
      </c>
      <c r="M81" s="2185"/>
      <c r="N81" s="336"/>
      <c r="O81" s="1626"/>
      <c r="P81" s="1626"/>
      <c r="AH81" s="1633">
        <v>0</v>
      </c>
    </row>
    <row s="1637" customFormat="1" customHeight="1" ht="18.75" hidden="1">
      <c r="A82" s="1781"/>
      <c r="B82" s="1781"/>
      <c r="C82" s="371" t="s">
        <v>1198</v>
      </c>
      <c r="D82" s="2487"/>
      <c r="E82" s="2227"/>
      <c r="F82" s="2402"/>
      <c r="G82" s="2452"/>
      <c r="H82" s="1502"/>
      <c r="I82" s="653" t="s">
        <v>1199</v>
      </c>
      <c r="J82" s="573"/>
      <c r="K82" s="1502"/>
      <c r="L82" s="216"/>
      <c r="M82" s="2185"/>
      <c r="N82" s="336"/>
      <c r="O82" s="1626"/>
      <c r="P82" s="1626"/>
      <c r="AH82" s="1633">
        <v>0</v>
      </c>
    </row>
    <row s="1637" customFormat="1" customHeight="1" ht="1.05">
      <c r="A83" s="1781"/>
      <c r="B83" s="1781"/>
      <c r="C83" s="371" t="s">
        <v>1204</v>
      </c>
      <c r="D83" s="2487"/>
      <c r="E83" s="2227"/>
      <c r="F83" s="2402"/>
      <c r="G83" s="402"/>
      <c r="H83" s="1502"/>
      <c r="I83" s="653"/>
      <c r="J83" s="573"/>
      <c r="K83" s="1502"/>
      <c r="L83" s="216"/>
      <c r="M83" s="2185"/>
      <c r="N83" s="336"/>
      <c r="O83" s="1626"/>
      <c r="P83" s="1626"/>
      <c r="AH83" s="1633">
        <v>1</v>
      </c>
    </row>
    <row customHeight="1" ht="19.95">
      <c r="A84" s="1781"/>
      <c r="B84" s="1781"/>
      <c r="D84" s="378"/>
      <c r="E84" s="149" t="s">
        <v>107</v>
      </c>
      <c r="F84" s="24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5"/>
      <c r="H84" s="2485"/>
      <c r="I84" s="2485"/>
      <c r="J84" s="2485"/>
      <c r="K84" s="2485"/>
      <c r="L84" s="2485"/>
      <c r="M84" s="299"/>
      <c r="N84" s="336"/>
      <c r="AH84" s="376">
        <v>19</v>
      </c>
    </row>
    <row customHeight="1" ht="35.699999999999996">
      <c r="A85" s="1781"/>
      <c r="B85" s="1781"/>
      <c r="D85" s="378"/>
      <c r="E85" s="401"/>
      <c r="F85" s="200" t="s">
        <v>301</v>
      </c>
      <c r="G85" s="200" t="s">
        <v>301</v>
      </c>
      <c r="H85" s="2238" t="s">
        <v>301</v>
      </c>
      <c r="I85" s="2254"/>
      <c r="J85" s="200" t="s">
        <v>301</v>
      </c>
      <c r="K85" s="200" t="s">
        <v>301</v>
      </c>
      <c r="L85" s="403"/>
      <c r="M85" s="347" t="s">
        <v>1205</v>
      </c>
      <c r="N85" s="336"/>
      <c r="AH85" s="376">
        <v>34</v>
      </c>
    </row>
    <row customHeight="1" ht="19.95">
      <c r="A86" s="1781"/>
      <c r="B86" s="1781"/>
      <c r="D86" s="378"/>
      <c r="E86" s="149" t="s">
        <v>90</v>
      </c>
      <c r="F86" s="2485" t="s">
        <v>1206</v>
      </c>
      <c r="G86" s="2485"/>
      <c r="H86" s="2485"/>
      <c r="I86" s="2485"/>
      <c r="J86" s="2485"/>
      <c r="K86" s="2485"/>
      <c r="L86" s="2485"/>
      <c r="M86" s="299"/>
      <c r="N86" s="336"/>
      <c r="AH86" s="376">
        <v>19</v>
      </c>
    </row>
    <row s="1637" customFormat="1" customHeight="1" ht="60.75" hidden="1">
      <c r="A87" s="1781" t="s">
        <v>152</v>
      </c>
      <c r="B87" s="1781" t="s">
        <v>153</v>
      </c>
      <c r="C87" s="371"/>
      <c r="D87" s="2487"/>
      <c r="E87" s="2227"/>
      <c r="F87" s="240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52" t="str">
        <f>INDEX(PT_DIFFERENTIATION_NTAR,MATCH(B87,PT_DIFFERENTIATION_NTAR_ID,0))</f>
        <v/>
      </c>
      <c r="H87" s="1861"/>
      <c r="I87" s="1740"/>
      <c r="J87" s="1774"/>
      <c r="K87" s="1779"/>
      <c r="L87" s="1861" t="s">
        <v>301</v>
      </c>
      <c r="M87" s="218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1"/>
      <c r="B88" s="1781"/>
      <c r="C88" s="371" t="s">
        <v>1200</v>
      </c>
      <c r="D88" s="2487"/>
      <c r="E88" s="2227"/>
      <c r="F88" s="2402"/>
      <c r="G88" s="2452"/>
      <c r="H88" s="1502"/>
      <c r="I88" s="653" t="s">
        <v>1199</v>
      </c>
      <c r="J88" s="573"/>
      <c r="K88" s="1502"/>
      <c r="L88" s="216"/>
      <c r="M88" s="2185"/>
      <c r="N88" s="336"/>
      <c r="O88" s="1626"/>
      <c r="P88" s="1626"/>
      <c r="AH88" s="1633">
        <v>0</v>
      </c>
    </row>
    <row s="1637" customFormat="1" customHeight="1" ht="0.75" hidden="1">
      <c r="A89" s="1781"/>
      <c r="B89" s="1781"/>
      <c r="C89" s="371" t="s">
        <v>1207</v>
      </c>
      <c r="D89" s="2487"/>
      <c r="E89" s="2227"/>
      <c r="F89" s="2402"/>
      <c r="G89" s="402"/>
      <c r="H89" s="1502"/>
      <c r="I89" s="653"/>
      <c r="J89" s="573"/>
      <c r="K89" s="1502"/>
      <c r="L89" s="216"/>
      <c r="M89" s="2185"/>
      <c r="N89" s="336"/>
      <c r="O89" s="1626"/>
      <c r="P89" s="1626"/>
      <c r="AH89" s="1633">
        <v>0</v>
      </c>
    </row>
    <row s="1637" customFormat="1" customHeight="1" ht="45" hidden="1">
      <c r="A90" s="1781" t="s">
        <v>157</v>
      </c>
      <c r="B90" s="1781" t="s">
        <v>158</v>
      </c>
      <c r="C90" s="371"/>
      <c r="D90" s="2487"/>
      <c r="E90" s="2227"/>
      <c r="F90" s="2402" t="str">
        <f>INDEX(PT_DIFFERENTIATION_VTAR,MATCH(A90,PT_DIFFERENTIATION_VTAR_ID,0))</f>
        <v/>
      </c>
      <c r="G90" s="2452" t="str">
        <f>INDEX(PT_DIFFERENTIATION_NTAR,MATCH(B90,PT_DIFFERENTIATION_NTAR_ID,0))</f>
        <v/>
      </c>
      <c r="H90" s="1861"/>
      <c r="I90" s="1740"/>
      <c r="J90" s="1774"/>
      <c r="K90" s="1779"/>
      <c r="L90" s="1861" t="s">
        <v>301</v>
      </c>
      <c r="M90" s="2186"/>
      <c r="N90" s="336"/>
      <c r="O90" s="1626"/>
      <c r="P90" s="1626"/>
      <c r="AH90" s="1633">
        <v>0</v>
      </c>
    </row>
    <row s="1637" customFormat="1" customHeight="1" ht="18.75" hidden="1">
      <c r="A91" s="1781"/>
      <c r="B91" s="1781"/>
      <c r="C91" s="371" t="s">
        <v>1200</v>
      </c>
      <c r="D91" s="2487"/>
      <c r="E91" s="2227"/>
      <c r="F91" s="2402"/>
      <c r="G91" s="2452"/>
      <c r="H91" s="1502"/>
      <c r="I91" s="653" t="s">
        <v>1199</v>
      </c>
      <c r="J91" s="573"/>
      <c r="K91" s="1502"/>
      <c r="L91" s="216"/>
      <c r="M91" s="1860"/>
      <c r="N91" s="336"/>
      <c r="O91" s="1626"/>
      <c r="P91" s="1626"/>
      <c r="AH91" s="1633">
        <v>0</v>
      </c>
    </row>
    <row s="1637" customFormat="1" customHeight="1" ht="0.75" hidden="1">
      <c r="A92" s="1781"/>
      <c r="B92" s="1781"/>
      <c r="C92" s="371" t="s">
        <v>1207</v>
      </c>
      <c r="D92" s="2487"/>
      <c r="E92" s="2227"/>
      <c r="F92" s="2402"/>
      <c r="G92" s="402"/>
      <c r="H92" s="1502"/>
      <c r="I92" s="653"/>
      <c r="J92" s="573"/>
      <c r="K92" s="1502"/>
      <c r="L92" s="216"/>
      <c r="M92" s="343"/>
      <c r="N92" s="336"/>
      <c r="O92" s="1626"/>
      <c r="P92" s="1626"/>
      <c r="AH92" s="1633">
        <v>0</v>
      </c>
    </row>
    <row s="1637" customFormat="1" customHeight="1" ht="45" hidden="1">
      <c r="A93" s="1781" t="s">
        <v>164</v>
      </c>
      <c r="B93" s="1781" t="s">
        <v>165</v>
      </c>
      <c r="C93" s="371"/>
      <c r="D93" s="2487"/>
      <c r="E93" s="2227"/>
      <c r="F93" s="240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52" t="str">
        <f>INDEX(PT_DIFFERENTIATION_NTAR,MATCH(B93,PT_DIFFERENTIATION_NTAR_ID,0))</f>
        <v/>
      </c>
      <c r="H93" s="1861"/>
      <c r="I93" s="1740"/>
      <c r="J93" s="1774"/>
      <c r="K93" s="1779"/>
      <c r="L93" s="1861" t="s">
        <v>301</v>
      </c>
      <c r="M93" s="343"/>
      <c r="N93" s="336"/>
      <c r="O93" s="1626"/>
      <c r="P93" s="1626"/>
      <c r="AH93" s="1633">
        <v>0</v>
      </c>
    </row>
    <row s="1637" customFormat="1" customHeight="1" ht="18.75" hidden="1">
      <c r="A94" s="1781"/>
      <c r="B94" s="1781"/>
      <c r="C94" s="371" t="s">
        <v>1200</v>
      </c>
      <c r="D94" s="2487"/>
      <c r="E94" s="2227"/>
      <c r="F94" s="2402"/>
      <c r="G94" s="2452"/>
      <c r="H94" s="1502"/>
      <c r="I94" s="653" t="s">
        <v>1199</v>
      </c>
      <c r="J94" s="573"/>
      <c r="K94" s="1502"/>
      <c r="L94" s="216"/>
      <c r="M94" s="343"/>
      <c r="N94" s="336"/>
      <c r="O94" s="1626"/>
      <c r="P94" s="1626"/>
      <c r="AH94" s="1633">
        <v>0</v>
      </c>
    </row>
    <row s="1637" customFormat="1" customHeight="1" ht="0.75" hidden="1">
      <c r="A95" s="1781"/>
      <c r="B95" s="1781"/>
      <c r="C95" s="371" t="s">
        <v>1207</v>
      </c>
      <c r="D95" s="2487"/>
      <c r="E95" s="2227"/>
      <c r="F95" s="2402"/>
      <c r="G95" s="402"/>
      <c r="H95" s="1502"/>
      <c r="I95" s="653"/>
      <c r="J95" s="573"/>
      <c r="K95" s="1502"/>
      <c r="L95" s="216"/>
      <c r="M95" s="343"/>
      <c r="N95" s="336"/>
      <c r="O95" s="1626"/>
      <c r="P95" s="1626"/>
      <c r="AH95" s="1633">
        <v>0</v>
      </c>
    </row>
    <row s="1637" customFormat="1" customHeight="1" ht="45" hidden="1">
      <c r="A96" s="1781" t="s">
        <v>170</v>
      </c>
      <c r="B96" s="1781" t="s">
        <v>171</v>
      </c>
      <c r="C96" s="371"/>
      <c r="D96" s="2487"/>
      <c r="E96" s="2227"/>
      <c r="F96" s="240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52" t="str">
        <f>INDEX(PT_DIFFERENTIATION_NTAR,MATCH(B96,PT_DIFFERENTIATION_NTAR_ID,0))</f>
        <v/>
      </c>
      <c r="H96" s="1861"/>
      <c r="I96" s="1740"/>
      <c r="J96" s="1774"/>
      <c r="K96" s="1779"/>
      <c r="L96" s="1861" t="s">
        <v>301</v>
      </c>
      <c r="M96" s="343"/>
      <c r="N96" s="336"/>
      <c r="O96" s="1626"/>
      <c r="P96" s="1626"/>
      <c r="AH96" s="1633">
        <v>0</v>
      </c>
    </row>
    <row s="1637" customFormat="1" customHeight="1" ht="18.75" hidden="1">
      <c r="A97" s="1781"/>
      <c r="B97" s="1781"/>
      <c r="C97" s="371" t="s">
        <v>1200</v>
      </c>
      <c r="D97" s="2487"/>
      <c r="E97" s="2227"/>
      <c r="F97" s="2402"/>
      <c r="G97" s="2452"/>
      <c r="H97" s="1502"/>
      <c r="I97" s="653" t="s">
        <v>1199</v>
      </c>
      <c r="J97" s="573"/>
      <c r="K97" s="1502"/>
      <c r="L97" s="216"/>
      <c r="M97" s="343"/>
      <c r="N97" s="336"/>
      <c r="O97" s="1626"/>
      <c r="P97" s="1626"/>
      <c r="AH97" s="1633">
        <v>0</v>
      </c>
    </row>
    <row s="1637" customFormat="1" customHeight="1" ht="0.75" hidden="1">
      <c r="A98" s="1781"/>
      <c r="B98" s="1781"/>
      <c r="C98" s="371" t="s">
        <v>1207</v>
      </c>
      <c r="D98" s="2487"/>
      <c r="E98" s="2227"/>
      <c r="F98" s="2402"/>
      <c r="G98" s="402"/>
      <c r="H98" s="1502"/>
      <c r="I98" s="653"/>
      <c r="J98" s="573"/>
      <c r="K98" s="1502"/>
      <c r="L98" s="216"/>
      <c r="M98" s="343"/>
      <c r="N98" s="336"/>
      <c r="O98" s="1626"/>
      <c r="P98" s="1626"/>
      <c r="AH98" s="1633">
        <v>0</v>
      </c>
    </row>
    <row s="1637" customFormat="1" customHeight="1" ht="18.75" hidden="1">
      <c r="A99" s="1781" t="s">
        <v>176</v>
      </c>
      <c r="B99" s="1781" t="s">
        <v>177</v>
      </c>
      <c r="C99" s="371"/>
      <c r="D99" s="2487"/>
      <c r="E99" s="2227"/>
      <c r="F99" s="2402" t="str">
        <f>INDEX(PT_DIFFERENTIATION_VTAR,MATCH(A99,PT_DIFFERENTIATION_VTAR_ID,0))</f>
        <v>Тарифы на услуги по передаче тепловой энергии</v>
      </c>
      <c r="G99" s="2452" t="str">
        <f>INDEX(PT_DIFFERENTIATION_NTAR,MATCH(B99,PT_DIFFERENTIATION_NTAR_ID,0))</f>
        <v/>
      </c>
      <c r="H99" s="1861"/>
      <c r="I99" s="1740"/>
      <c r="J99" s="1774"/>
      <c r="K99" s="1779"/>
      <c r="L99" s="1861" t="s">
        <v>301</v>
      </c>
      <c r="M99" s="343"/>
      <c r="N99" s="336"/>
      <c r="O99" s="1626"/>
      <c r="P99" s="1626"/>
      <c r="AH99" s="1633">
        <v>0</v>
      </c>
    </row>
    <row s="1637" customFormat="1" customHeight="1" ht="18.75" hidden="1">
      <c r="A100" s="1781"/>
      <c r="B100" s="1781"/>
      <c r="C100" s="371" t="s">
        <v>1200</v>
      </c>
      <c r="D100" s="2487"/>
      <c r="E100" s="2227"/>
      <c r="F100" s="2402"/>
      <c r="G100" s="2452"/>
      <c r="H100" s="1502"/>
      <c r="I100" s="653" t="s">
        <v>1199</v>
      </c>
      <c r="J100" s="573"/>
      <c r="K100" s="1502"/>
      <c r="L100" s="216"/>
      <c r="M100" s="343"/>
      <c r="N100" s="336"/>
      <c r="O100" s="1626"/>
      <c r="P100" s="1626"/>
      <c r="AH100" s="1633">
        <v>0</v>
      </c>
    </row>
    <row s="1637" customFormat="1" customHeight="1" ht="0.75" hidden="1">
      <c r="A101" s="1781"/>
      <c r="B101" s="1781"/>
      <c r="C101" s="371" t="s">
        <v>1207</v>
      </c>
      <c r="D101" s="2487"/>
      <c r="E101" s="2227"/>
      <c r="F101" s="2402"/>
      <c r="G101" s="402"/>
      <c r="H101" s="1502"/>
      <c r="I101" s="653"/>
      <c r="J101" s="573"/>
      <c r="K101" s="1502"/>
      <c r="L101" s="216"/>
      <c r="M101" s="343"/>
      <c r="N101" s="336"/>
      <c r="O101" s="1626"/>
      <c r="P101" s="1626"/>
      <c r="AH101" s="1633">
        <v>0</v>
      </c>
    </row>
    <row s="1637" customFormat="1" customHeight="1" ht="18.75" hidden="1">
      <c r="A102" s="1781" t="s">
        <v>182</v>
      </c>
      <c r="B102" s="1781" t="s">
        <v>183</v>
      </c>
      <c r="C102" s="371"/>
      <c r="D102" s="2487"/>
      <c r="E102" s="2227"/>
      <c r="F102" s="2402" t="str">
        <f>INDEX(PT_DIFFERENTIATION_VTAR,MATCH(A102,PT_DIFFERENTIATION_VTAR_ID,0))</f>
        <v>Тарифы на услуги по передаче теплоносителя</v>
      </c>
      <c r="G102" s="2452" t="str">
        <f>INDEX(PT_DIFFERENTIATION_NTAR,MATCH(B102,PT_DIFFERENTIATION_NTAR_ID,0))</f>
        <v/>
      </c>
      <c r="H102" s="1861"/>
      <c r="I102" s="1740"/>
      <c r="J102" s="1774"/>
      <c r="K102" s="1779"/>
      <c r="L102" s="1861" t="s">
        <v>301</v>
      </c>
      <c r="M102" s="343"/>
      <c r="N102" s="336"/>
      <c r="O102" s="1626"/>
      <c r="P102" s="1626"/>
      <c r="AH102" s="1633">
        <v>0</v>
      </c>
    </row>
    <row s="1637" customFormat="1" customHeight="1" ht="18.75" hidden="1">
      <c r="A103" s="1781"/>
      <c r="B103" s="1781"/>
      <c r="C103" s="371" t="s">
        <v>1200</v>
      </c>
      <c r="D103" s="2487"/>
      <c r="E103" s="2227"/>
      <c r="F103" s="2402"/>
      <c r="G103" s="2452"/>
      <c r="H103" s="1502"/>
      <c r="I103" s="653" t="s">
        <v>1199</v>
      </c>
      <c r="J103" s="573"/>
      <c r="K103" s="1502"/>
      <c r="L103" s="216"/>
      <c r="M103" s="343"/>
      <c r="N103" s="336"/>
      <c r="O103" s="1626"/>
      <c r="P103" s="1626"/>
      <c r="AH103" s="1633">
        <v>0</v>
      </c>
    </row>
    <row s="1637" customFormat="1" customHeight="1" ht="0.75" hidden="1">
      <c r="A104" s="1781"/>
      <c r="B104" s="1781"/>
      <c r="C104" s="371" t="s">
        <v>1207</v>
      </c>
      <c r="D104" s="2487"/>
      <c r="E104" s="2227"/>
      <c r="F104" s="2402"/>
      <c r="G104" s="402"/>
      <c r="H104" s="1502"/>
      <c r="I104" s="653"/>
      <c r="J104" s="573"/>
      <c r="K104" s="1502"/>
      <c r="L104" s="216"/>
      <c r="M104" s="343"/>
      <c r="N104" s="336"/>
      <c r="O104" s="1626"/>
      <c r="P104" s="1626"/>
      <c r="AH104" s="1633">
        <v>0</v>
      </c>
    </row>
    <row s="1637" customFormat="1" customHeight="1" ht="18.75" hidden="1">
      <c r="A105" s="1781" t="s">
        <v>188</v>
      </c>
      <c r="B105" s="1781" t="s">
        <v>189</v>
      </c>
      <c r="C105" s="371"/>
      <c r="D105" s="2487"/>
      <c r="E105" s="2227"/>
      <c r="F105" s="240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52" t="str">
        <f>INDEX(PT_DIFFERENTIATION_NTAR,MATCH(B105,PT_DIFFERENTIATION_NTAR_ID,0))</f>
        <v/>
      </c>
      <c r="H105" s="1861"/>
      <c r="I105" s="1740"/>
      <c r="J105" s="1774"/>
      <c r="K105" s="1779"/>
      <c r="L105" s="1861" t="s">
        <v>301</v>
      </c>
      <c r="M105" s="343"/>
      <c r="N105" s="336"/>
      <c r="O105" s="1626"/>
      <c r="P105" s="1626"/>
      <c r="AH105" s="1633">
        <v>0</v>
      </c>
    </row>
    <row s="1637" customFormat="1" customHeight="1" ht="18.75" hidden="1">
      <c r="A106" s="1781"/>
      <c r="B106" s="1781"/>
      <c r="C106" s="371" t="s">
        <v>1200</v>
      </c>
      <c r="D106" s="2487"/>
      <c r="E106" s="2227"/>
      <c r="F106" s="2402"/>
      <c r="G106" s="2452"/>
      <c r="H106" s="1502"/>
      <c r="I106" s="653" t="s">
        <v>1199</v>
      </c>
      <c r="J106" s="573"/>
      <c r="K106" s="1502"/>
      <c r="L106" s="216"/>
      <c r="M106" s="343"/>
      <c r="N106" s="336"/>
      <c r="O106" s="1626"/>
      <c r="P106" s="1626"/>
      <c r="AH106" s="1633">
        <v>0</v>
      </c>
    </row>
    <row s="1637" customFormat="1" customHeight="1" ht="0.75" hidden="1">
      <c r="A107" s="1781"/>
      <c r="B107" s="1781"/>
      <c r="C107" s="371" t="s">
        <v>1207</v>
      </c>
      <c r="D107" s="2487"/>
      <c r="E107" s="2227"/>
      <c r="F107" s="2402"/>
      <c r="G107" s="402"/>
      <c r="H107" s="1502"/>
      <c r="I107" s="653"/>
      <c r="J107" s="573"/>
      <c r="K107" s="1502"/>
      <c r="L107" s="216"/>
      <c r="M107" s="343"/>
      <c r="N107" s="336"/>
      <c r="O107" s="1626"/>
      <c r="P107" s="1626"/>
      <c r="AH107" s="1633">
        <v>0</v>
      </c>
    </row>
    <row s="1637" customFormat="1" customHeight="1" ht="18.75" hidden="1">
      <c r="A108" s="1781" t="s">
        <v>194</v>
      </c>
      <c r="B108" s="1781" t="s">
        <v>195</v>
      </c>
      <c r="C108" s="371"/>
      <c r="D108" s="2487"/>
      <c r="E108" s="2227"/>
      <c r="F108" s="2402" t="str">
        <f>INDEX(PT_DIFFERENTIATION_VTAR,MATCH(A108,PT_DIFFERENTIATION_VTAR_ID,0))</f>
        <v>Плата за подключение (технологическое присоединение) к системе теплоснабжения</v>
      </c>
      <c r="G108" s="2452" t="str">
        <f>INDEX(PT_DIFFERENTIATION_NTAR,MATCH(B108,PT_DIFFERENTIATION_NTAR_ID,0))</f>
        <v/>
      </c>
      <c r="H108" s="1861"/>
      <c r="I108" s="1740"/>
      <c r="J108" s="1774"/>
      <c r="K108" s="1779"/>
      <c r="L108" s="1861" t="s">
        <v>301</v>
      </c>
      <c r="M108" s="343"/>
      <c r="N108" s="336"/>
      <c r="O108" s="1626"/>
      <c r="P108" s="1626"/>
      <c r="AH108" s="1633">
        <v>0</v>
      </c>
    </row>
    <row s="1637" customFormat="1" customHeight="1" ht="18.75" hidden="1">
      <c r="A109" s="1781"/>
      <c r="B109" s="1781"/>
      <c r="C109" s="371" t="s">
        <v>1200</v>
      </c>
      <c r="D109" s="2487"/>
      <c r="E109" s="2227"/>
      <c r="F109" s="2402"/>
      <c r="G109" s="2452"/>
      <c r="H109" s="1502"/>
      <c r="I109" s="653" t="s">
        <v>1199</v>
      </c>
      <c r="J109" s="573"/>
      <c r="K109" s="1502"/>
      <c r="L109" s="216"/>
      <c r="M109" s="343"/>
      <c r="N109" s="336"/>
      <c r="O109" s="1626"/>
      <c r="P109" s="1626"/>
      <c r="AH109" s="1633">
        <v>0</v>
      </c>
    </row>
    <row s="1637" customFormat="1" customHeight="1" ht="0.75" hidden="1">
      <c r="A110" s="1781"/>
      <c r="B110" s="1781"/>
      <c r="C110" s="371" t="s">
        <v>1207</v>
      </c>
      <c r="D110" s="2487"/>
      <c r="E110" s="2227"/>
      <c r="F110" s="2402"/>
      <c r="G110" s="402"/>
      <c r="H110" s="1502"/>
      <c r="I110" s="653"/>
      <c r="J110" s="573"/>
      <c r="K110" s="1502"/>
      <c r="L110" s="216"/>
      <c r="M110" s="343"/>
      <c r="N110" s="336"/>
      <c r="O110" s="1626"/>
      <c r="P110" s="1626"/>
      <c r="AH110" s="1633">
        <v>0</v>
      </c>
    </row>
    <row s="1637" customFormat="1" customHeight="1" ht="18.75" hidden="1">
      <c r="A111" s="1781" t="s">
        <v>200</v>
      </c>
      <c r="B111" s="1781" t="s">
        <v>201</v>
      </c>
      <c r="C111" s="371"/>
      <c r="D111" s="2487"/>
      <c r="E111" s="2227"/>
      <c r="F111" s="2402" t="str">
        <f>INDEX(PT_DIFFERENTIATION_VTAR,MATCH(A111,PT_DIFFERENTIATION_VTAR_ID,0))</f>
        <v>Плата за подключение (технологическое присоединение) к системе теплоснабжения (индивидуальная)</v>
      </c>
      <c r="G111" s="2452" t="str">
        <f>INDEX(PT_DIFFERENTIATION_NTAR,MATCH(B111,PT_DIFFERENTIATION_NTAR_ID,0))</f>
        <v/>
      </c>
      <c r="H111" s="1988"/>
      <c r="I111" s="1740"/>
      <c r="J111" s="1774"/>
      <c r="K111" s="1779"/>
      <c r="L111" s="1988" t="s">
        <v>301</v>
      </c>
      <c r="M111" s="343"/>
      <c r="N111" s="336"/>
      <c r="O111" s="1626"/>
      <c r="P111" s="1626"/>
      <c r="AH111" s="1633">
        <v>0</v>
      </c>
    </row>
    <row s="1637" customFormat="1" customHeight="1" ht="18.75" hidden="1">
      <c r="A112" s="1781"/>
      <c r="B112" s="1781"/>
      <c r="C112" s="371" t="s">
        <v>1200</v>
      </c>
      <c r="D112" s="2487"/>
      <c r="E112" s="2227"/>
      <c r="F112" s="2402"/>
      <c r="G112" s="2452"/>
      <c r="H112" s="1502"/>
      <c r="I112" s="653" t="s">
        <v>1199</v>
      </c>
      <c r="J112" s="573"/>
      <c r="K112" s="1502"/>
      <c r="L112" s="216"/>
      <c r="M112" s="343"/>
      <c r="N112" s="336"/>
      <c r="O112" s="1626"/>
      <c r="P112" s="1626"/>
      <c r="AH112" s="1633">
        <v>0</v>
      </c>
    </row>
    <row s="1637" customFormat="1" customHeight="1" ht="0.75" hidden="1">
      <c r="A113" s="1781"/>
      <c r="B113" s="1781"/>
      <c r="C113" s="371" t="s">
        <v>1207</v>
      </c>
      <c r="D113" s="2487"/>
      <c r="E113" s="2227"/>
      <c r="F113" s="2402"/>
      <c r="G113" s="402"/>
      <c r="H113" s="1502"/>
      <c r="I113" s="653"/>
      <c r="J113" s="573"/>
      <c r="K113" s="1502"/>
      <c r="L113" s="216"/>
      <c r="M113" s="343"/>
      <c r="N113" s="336"/>
      <c r="O113" s="1626"/>
      <c r="P113" s="1626"/>
      <c r="AH113" s="1633">
        <v>0</v>
      </c>
    </row>
    <row s="1637" customFormat="1" customHeight="1" ht="18.75" hidden="1">
      <c r="A114" s="1781" t="s">
        <v>220</v>
      </c>
      <c r="B114" s="1781" t="s">
        <v>221</v>
      </c>
      <c r="C114" s="371"/>
      <c r="D114" s="2487"/>
      <c r="E114" s="2227"/>
      <c r="F114" s="2402" t="str">
        <f>INDEX(PT_DIFFERENTIATION_VTAR,MATCH(A114,PT_DIFFERENTIATION_VTAR_ID,0))</f>
        <v>Тариф на питьевую воду (питьевое водоснабжение)</v>
      </c>
      <c r="G114" s="2452" t="str">
        <f>INDEX(PT_DIFFERENTIATION_NTAR,MATCH(B114,PT_DIFFERENTIATION_NTAR_ID,0))</f>
        <v/>
      </c>
      <c r="H114" s="1861"/>
      <c r="I114" s="1740"/>
      <c r="J114" s="1774"/>
      <c r="K114" s="1779"/>
      <c r="L114" s="1861" t="s">
        <v>301</v>
      </c>
      <c r="M114" s="343"/>
      <c r="N114" s="336"/>
      <c r="O114" s="1626"/>
      <c r="P114" s="1626"/>
      <c r="AH114" s="1633">
        <v>0</v>
      </c>
    </row>
    <row s="1637" customFormat="1" customHeight="1" ht="18.75" hidden="1">
      <c r="A115" s="1781"/>
      <c r="B115" s="1781"/>
      <c r="C115" s="371" t="s">
        <v>1200</v>
      </c>
      <c r="D115" s="2487"/>
      <c r="E115" s="2227"/>
      <c r="F115" s="2402"/>
      <c r="G115" s="2452"/>
      <c r="H115" s="1502"/>
      <c r="I115" s="653" t="s">
        <v>1199</v>
      </c>
      <c r="J115" s="573"/>
      <c r="K115" s="1502"/>
      <c r="L115" s="216"/>
      <c r="M115" s="343"/>
      <c r="N115" s="336"/>
      <c r="O115" s="1626"/>
      <c r="P115" s="1626"/>
      <c r="AH115" s="1633">
        <v>0</v>
      </c>
    </row>
    <row s="1637" customFormat="1" customHeight="1" ht="0.75" hidden="1">
      <c r="A116" s="1781"/>
      <c r="B116" s="1781"/>
      <c r="C116" s="371" t="s">
        <v>1207</v>
      </c>
      <c r="D116" s="2487"/>
      <c r="E116" s="2227"/>
      <c r="F116" s="2402"/>
      <c r="G116" s="402"/>
      <c r="H116" s="1502"/>
      <c r="I116" s="653"/>
      <c r="J116" s="573"/>
      <c r="K116" s="1502"/>
      <c r="L116" s="216"/>
      <c r="M116" s="343"/>
      <c r="N116" s="336"/>
      <c r="O116" s="1626"/>
      <c r="P116" s="1626"/>
      <c r="AH116" s="1633">
        <v>0</v>
      </c>
    </row>
    <row s="1637" customFormat="1" customHeight="1" ht="18.75" hidden="1">
      <c r="A117" s="1781" t="s">
        <v>225</v>
      </c>
      <c r="B117" s="1781" t="s">
        <v>226</v>
      </c>
      <c r="C117" s="371"/>
      <c r="D117" s="2487"/>
      <c r="E117" s="2227"/>
      <c r="F117" s="2402" t="str">
        <f>INDEX(PT_DIFFERENTIATION_VTAR,MATCH(A117,PT_DIFFERENTIATION_VTAR_ID,0))</f>
        <v>Тариф на техническую воду</v>
      </c>
      <c r="G117" s="2452" t="str">
        <f>INDEX(PT_DIFFERENTIATION_NTAR,MATCH(B117,PT_DIFFERENTIATION_NTAR_ID,0))</f>
        <v/>
      </c>
      <c r="H117" s="1861"/>
      <c r="I117" s="1740"/>
      <c r="J117" s="1774"/>
      <c r="K117" s="1779"/>
      <c r="L117" s="1861" t="s">
        <v>301</v>
      </c>
      <c r="M117" s="343"/>
      <c r="N117" s="336"/>
      <c r="O117" s="1626"/>
      <c r="P117" s="1626"/>
      <c r="AH117" s="1633">
        <v>0</v>
      </c>
    </row>
    <row s="1637" customFormat="1" customHeight="1" ht="18.75" hidden="1">
      <c r="A118" s="1781"/>
      <c r="B118" s="1781"/>
      <c r="C118" s="371" t="s">
        <v>1200</v>
      </c>
      <c r="D118" s="2487"/>
      <c r="E118" s="2227"/>
      <c r="F118" s="2402"/>
      <c r="G118" s="2452"/>
      <c r="H118" s="1502"/>
      <c r="I118" s="653" t="s">
        <v>1199</v>
      </c>
      <c r="J118" s="573"/>
      <c r="K118" s="1502"/>
      <c r="L118" s="216"/>
      <c r="M118" s="343"/>
      <c r="N118" s="336"/>
      <c r="O118" s="1626"/>
      <c r="P118" s="1626"/>
      <c r="AH118" s="1633">
        <v>0</v>
      </c>
    </row>
    <row s="1637" customFormat="1" customHeight="1" ht="0.75" hidden="1">
      <c r="A119" s="1781"/>
      <c r="B119" s="1781"/>
      <c r="C119" s="371" t="s">
        <v>1207</v>
      </c>
      <c r="D119" s="2487"/>
      <c r="E119" s="2227"/>
      <c r="F119" s="2402"/>
      <c r="G119" s="402"/>
      <c r="H119" s="1502"/>
      <c r="I119" s="653"/>
      <c r="J119" s="573"/>
      <c r="K119" s="1502"/>
      <c r="L119" s="216"/>
      <c r="M119" s="343"/>
      <c r="N119" s="336"/>
      <c r="O119" s="1626"/>
      <c r="P119" s="1626"/>
      <c r="AH119" s="1633">
        <v>0</v>
      </c>
    </row>
    <row s="1637" customFormat="1" customHeight="1" ht="18.75" hidden="1">
      <c r="A120" s="1781" t="s">
        <v>230</v>
      </c>
      <c r="B120" s="1781" t="s">
        <v>231</v>
      </c>
      <c r="C120" s="371"/>
      <c r="D120" s="2487"/>
      <c r="E120" s="2227"/>
      <c r="F120" s="2402" t="str">
        <f>INDEX(PT_DIFFERENTIATION_VTAR,MATCH(A120,PT_DIFFERENTIATION_VTAR_ID,0))</f>
        <v>Тариф на транспортировку воды</v>
      </c>
      <c r="G120" s="2452" t="str">
        <f>INDEX(PT_DIFFERENTIATION_NTAR,MATCH(B120,PT_DIFFERENTIATION_NTAR_ID,0))</f>
        <v/>
      </c>
      <c r="H120" s="1861"/>
      <c r="I120" s="1740"/>
      <c r="J120" s="1774"/>
      <c r="K120" s="1779"/>
      <c r="L120" s="1861" t="s">
        <v>301</v>
      </c>
      <c r="M120" s="343"/>
      <c r="N120" s="336"/>
      <c r="O120" s="1626"/>
      <c r="P120" s="1626"/>
      <c r="AH120" s="1633">
        <v>0</v>
      </c>
    </row>
    <row s="1637" customFormat="1" customHeight="1" ht="18.75" hidden="1">
      <c r="A121" s="1781"/>
      <c r="B121" s="1781"/>
      <c r="C121" s="371" t="s">
        <v>1200</v>
      </c>
      <c r="D121" s="2487"/>
      <c r="E121" s="2227"/>
      <c r="F121" s="2402"/>
      <c r="G121" s="2452"/>
      <c r="H121" s="1502"/>
      <c r="I121" s="653" t="s">
        <v>1199</v>
      </c>
      <c r="J121" s="573"/>
      <c r="K121" s="1502"/>
      <c r="L121" s="216"/>
      <c r="M121" s="343"/>
      <c r="N121" s="336"/>
      <c r="O121" s="1626"/>
      <c r="P121" s="1626"/>
      <c r="AH121" s="1633">
        <v>0</v>
      </c>
    </row>
    <row s="1637" customFormat="1" customHeight="1" ht="0.75" hidden="1">
      <c r="A122" s="1781"/>
      <c r="B122" s="1781"/>
      <c r="C122" s="371" t="s">
        <v>1207</v>
      </c>
      <c r="D122" s="2487"/>
      <c r="E122" s="2227"/>
      <c r="F122" s="2402"/>
      <c r="G122" s="402"/>
      <c r="H122" s="1502"/>
      <c r="I122" s="653"/>
      <c r="J122" s="573"/>
      <c r="K122" s="1502"/>
      <c r="L122" s="216"/>
      <c r="M122" s="343"/>
      <c r="N122" s="336"/>
      <c r="O122" s="1626"/>
      <c r="P122" s="1626"/>
      <c r="AH122" s="1633">
        <v>0</v>
      </c>
    </row>
    <row s="1637" customFormat="1" customHeight="1" ht="18.75" hidden="1">
      <c r="A123" s="1781" t="s">
        <v>235</v>
      </c>
      <c r="B123" s="1781" t="s">
        <v>236</v>
      </c>
      <c r="C123" s="371"/>
      <c r="D123" s="2487"/>
      <c r="E123" s="2227"/>
      <c r="F123" s="2402" t="str">
        <f>INDEX(PT_DIFFERENTIATION_VTAR,MATCH(A123,PT_DIFFERENTIATION_VTAR_ID,0))</f>
        <v>Тариф на подвоз воды</v>
      </c>
      <c r="G123" s="2452" t="str">
        <f>INDEX(PT_DIFFERENTIATION_NTAR,MATCH(B123,PT_DIFFERENTIATION_NTAR_ID,0))</f>
        <v/>
      </c>
      <c r="H123" s="1861"/>
      <c r="I123" s="1740"/>
      <c r="J123" s="1774"/>
      <c r="K123" s="1779"/>
      <c r="L123" s="1861" t="s">
        <v>301</v>
      </c>
      <c r="M123" s="343"/>
      <c r="N123" s="336"/>
      <c r="O123" s="1626"/>
      <c r="P123" s="1626"/>
      <c r="AH123" s="1633">
        <v>0</v>
      </c>
    </row>
    <row s="1637" customFormat="1" customHeight="1" ht="18.75" hidden="1">
      <c r="A124" s="1781"/>
      <c r="B124" s="1781"/>
      <c r="C124" s="371" t="s">
        <v>1200</v>
      </c>
      <c r="D124" s="2487"/>
      <c r="E124" s="2227"/>
      <c r="F124" s="2402"/>
      <c r="G124" s="2452"/>
      <c r="H124" s="1502"/>
      <c r="I124" s="653" t="s">
        <v>1199</v>
      </c>
      <c r="J124" s="573"/>
      <c r="K124" s="1502"/>
      <c r="L124" s="216"/>
      <c r="M124" s="343"/>
      <c r="N124" s="336"/>
      <c r="O124" s="1626"/>
      <c r="P124" s="1626"/>
      <c r="AH124" s="1633">
        <v>0</v>
      </c>
    </row>
    <row s="1637" customFormat="1" customHeight="1" ht="0.75" hidden="1">
      <c r="A125" s="1781"/>
      <c r="B125" s="1781"/>
      <c r="C125" s="371" t="s">
        <v>1207</v>
      </c>
      <c r="D125" s="2487"/>
      <c r="E125" s="2227"/>
      <c r="F125" s="2402"/>
      <c r="G125" s="402"/>
      <c r="H125" s="1502"/>
      <c r="I125" s="653"/>
      <c r="J125" s="573"/>
      <c r="K125" s="1502"/>
      <c r="L125" s="216"/>
      <c r="M125" s="343"/>
      <c r="N125" s="336"/>
      <c r="O125" s="1626"/>
      <c r="P125" s="1626"/>
      <c r="AH125" s="1633">
        <v>0</v>
      </c>
    </row>
    <row s="1637" customFormat="1" customHeight="1" ht="18.75" hidden="1">
      <c r="A126" s="1781" t="s">
        <v>240</v>
      </c>
      <c r="B126" s="1781" t="s">
        <v>241</v>
      </c>
      <c r="C126" s="371"/>
      <c r="D126" s="2487"/>
      <c r="E126" s="2227"/>
      <c r="F126" s="240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52" t="str">
        <f>INDEX(PT_DIFFERENTIATION_NTAR,MATCH(B126,PT_DIFFERENTIATION_NTAR_ID,0))</f>
        <v/>
      </c>
      <c r="H126" s="1861"/>
      <c r="I126" s="1740"/>
      <c r="J126" s="1774"/>
      <c r="K126" s="1779"/>
      <c r="L126" s="1861" t="s">
        <v>301</v>
      </c>
      <c r="M126" s="343"/>
      <c r="N126" s="336"/>
      <c r="O126" s="1626"/>
      <c r="P126" s="1626"/>
      <c r="AH126" s="1633">
        <v>0</v>
      </c>
    </row>
    <row s="1637" customFormat="1" customHeight="1" ht="18.75" hidden="1">
      <c r="A127" s="1781"/>
      <c r="B127" s="1781"/>
      <c r="C127" s="371" t="s">
        <v>1200</v>
      </c>
      <c r="D127" s="2487"/>
      <c r="E127" s="2227"/>
      <c r="F127" s="2402"/>
      <c r="G127" s="2452"/>
      <c r="H127" s="1502"/>
      <c r="I127" s="653" t="s">
        <v>1199</v>
      </c>
      <c r="J127" s="573"/>
      <c r="K127" s="1502"/>
      <c r="L127" s="216"/>
      <c r="M127" s="343"/>
      <c r="N127" s="336"/>
      <c r="O127" s="1626"/>
      <c r="P127" s="1626"/>
      <c r="AH127" s="1633">
        <v>0</v>
      </c>
    </row>
    <row s="1637" customFormat="1" customHeight="1" ht="0.75" hidden="1">
      <c r="A128" s="1781"/>
      <c r="B128" s="1781"/>
      <c r="C128" s="371" t="s">
        <v>1207</v>
      </c>
      <c r="D128" s="2487"/>
      <c r="E128" s="2227"/>
      <c r="F128" s="2402"/>
      <c r="G128" s="402"/>
      <c r="H128" s="1502"/>
      <c r="I128" s="653"/>
      <c r="J128" s="573"/>
      <c r="K128" s="1502"/>
      <c r="L128" s="216"/>
      <c r="M128" s="343"/>
      <c r="N128" s="336"/>
      <c r="O128" s="1626"/>
      <c r="P128" s="1626"/>
      <c r="AH128" s="1633">
        <v>0</v>
      </c>
    </row>
    <row s="1637" customFormat="1" customHeight="1" ht="18.75" hidden="1">
      <c r="A129" s="1781" t="s">
        <v>245</v>
      </c>
      <c r="B129" s="1781" t="s">
        <v>246</v>
      </c>
      <c r="C129" s="371"/>
      <c r="D129" s="2487"/>
      <c r="E129" s="2227"/>
      <c r="F129" s="2402" t="str">
        <f>INDEX(PT_DIFFERENTIATION_VTAR,MATCH(A129,PT_DIFFERENTIATION_VTAR_ID,0))</f>
        <v>Тариф на горячую воду (горячее водоснабжение)</v>
      </c>
      <c r="G129" s="2452" t="str">
        <f>INDEX(PT_DIFFERENTIATION_NTAR,MATCH(B129,PT_DIFFERENTIATION_NTAR_ID,0))</f>
        <v/>
      </c>
      <c r="H129" s="1861"/>
      <c r="I129" s="1740"/>
      <c r="J129" s="1774"/>
      <c r="K129" s="1779"/>
      <c r="L129" s="1861" t="s">
        <v>301</v>
      </c>
      <c r="M129" s="343"/>
      <c r="N129" s="336"/>
      <c r="O129" s="1626"/>
      <c r="P129" s="1626"/>
      <c r="AH129" s="1633">
        <v>0</v>
      </c>
    </row>
    <row s="1637" customFormat="1" customHeight="1" ht="18.75" hidden="1">
      <c r="A130" s="1781"/>
      <c r="B130" s="1781"/>
      <c r="C130" s="371" t="s">
        <v>1200</v>
      </c>
      <c r="D130" s="2487"/>
      <c r="E130" s="2227"/>
      <c r="F130" s="2402"/>
      <c r="G130" s="2452"/>
      <c r="H130" s="1502"/>
      <c r="I130" s="653" t="s">
        <v>1199</v>
      </c>
      <c r="J130" s="573"/>
      <c r="K130" s="1502"/>
      <c r="L130" s="216"/>
      <c r="M130" s="343"/>
      <c r="N130" s="336"/>
      <c r="O130" s="1626"/>
      <c r="P130" s="1626"/>
      <c r="AH130" s="1633">
        <v>0</v>
      </c>
    </row>
    <row s="1637" customFormat="1" customHeight="1" ht="0.75" hidden="1">
      <c r="A131" s="1781"/>
      <c r="B131" s="1781"/>
      <c r="C131" s="371" t="s">
        <v>1207</v>
      </c>
      <c r="D131" s="2487"/>
      <c r="E131" s="2227"/>
      <c r="F131" s="2402"/>
      <c r="G131" s="402"/>
      <c r="H131" s="1502"/>
      <c r="I131" s="653"/>
      <c r="J131" s="573"/>
      <c r="K131" s="1502"/>
      <c r="L131" s="216"/>
      <c r="M131" s="343"/>
      <c r="N131" s="336"/>
      <c r="O131" s="1626"/>
      <c r="P131" s="1626"/>
      <c r="AH131" s="1633">
        <v>0</v>
      </c>
    </row>
    <row s="1637" customFormat="1" customHeight="1" ht="18.75" hidden="1">
      <c r="A132" s="1781" t="s">
        <v>250</v>
      </c>
      <c r="B132" s="1781" t="s">
        <v>251</v>
      </c>
      <c r="C132" s="371"/>
      <c r="D132" s="2487"/>
      <c r="E132" s="2227"/>
      <c r="F132" s="2402" t="str">
        <f>INDEX(PT_DIFFERENTIATION_VTAR,MATCH(A132,PT_DIFFERENTIATION_VTAR_ID,0))</f>
        <v>Тариф на транспортировку горячей воды</v>
      </c>
      <c r="G132" s="2452" t="str">
        <f>INDEX(PT_DIFFERENTIATION_NTAR,MATCH(B132,PT_DIFFERENTIATION_NTAR_ID,0))</f>
        <v/>
      </c>
      <c r="H132" s="1861"/>
      <c r="I132" s="1740"/>
      <c r="J132" s="1774"/>
      <c r="K132" s="1779"/>
      <c r="L132" s="1861" t="s">
        <v>301</v>
      </c>
      <c r="M132" s="343"/>
      <c r="N132" s="336"/>
      <c r="O132" s="1626"/>
      <c r="P132" s="1626"/>
      <c r="AH132" s="1633">
        <v>0</v>
      </c>
    </row>
    <row s="1637" customFormat="1" customHeight="1" ht="18.75" hidden="1">
      <c r="A133" s="1781"/>
      <c r="B133" s="1781"/>
      <c r="C133" s="371" t="s">
        <v>1200</v>
      </c>
      <c r="D133" s="2487"/>
      <c r="E133" s="2227"/>
      <c r="F133" s="2402"/>
      <c r="G133" s="2452"/>
      <c r="H133" s="1502"/>
      <c r="I133" s="653" t="s">
        <v>1199</v>
      </c>
      <c r="J133" s="573"/>
      <c r="K133" s="1502"/>
      <c r="L133" s="216"/>
      <c r="M133" s="343"/>
      <c r="N133" s="336"/>
      <c r="O133" s="1626"/>
      <c r="P133" s="1626"/>
      <c r="AH133" s="1633">
        <v>0</v>
      </c>
    </row>
    <row s="1637" customFormat="1" customHeight="1" ht="0.75" hidden="1">
      <c r="A134" s="1781"/>
      <c r="B134" s="1781"/>
      <c r="C134" s="371" t="s">
        <v>1207</v>
      </c>
      <c r="D134" s="2487"/>
      <c r="E134" s="2227"/>
      <c r="F134" s="2402"/>
      <c r="G134" s="402"/>
      <c r="H134" s="1502"/>
      <c r="I134" s="653"/>
      <c r="J134" s="573"/>
      <c r="K134" s="1502"/>
      <c r="L134" s="216"/>
      <c r="M134" s="343"/>
      <c r="N134" s="336"/>
      <c r="O134" s="1626"/>
      <c r="P134" s="1626"/>
      <c r="AH134" s="1633">
        <v>0</v>
      </c>
    </row>
    <row s="1637" customFormat="1" customHeight="1" ht="18.75" hidden="1">
      <c r="A135" s="1781" t="s">
        <v>255</v>
      </c>
      <c r="B135" s="1781" t="s">
        <v>256</v>
      </c>
      <c r="C135" s="371"/>
      <c r="D135" s="2487"/>
      <c r="E135" s="2227"/>
      <c r="F135" s="240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52" t="str">
        <f>INDEX(PT_DIFFERENTIATION_NTAR,MATCH(B135,PT_DIFFERENTIATION_NTAR_ID,0))</f>
        <v/>
      </c>
      <c r="H135" s="1861"/>
      <c r="I135" s="1740"/>
      <c r="J135" s="1774"/>
      <c r="K135" s="1779"/>
      <c r="L135" s="1861" t="s">
        <v>301</v>
      </c>
      <c r="M135" s="343"/>
      <c r="N135" s="336"/>
      <c r="O135" s="1626"/>
      <c r="P135" s="1626"/>
      <c r="AH135" s="1633">
        <v>0</v>
      </c>
    </row>
    <row s="1637" customFormat="1" customHeight="1" ht="18.75" hidden="1">
      <c r="A136" s="1781"/>
      <c r="B136" s="1781"/>
      <c r="C136" s="371" t="s">
        <v>1200</v>
      </c>
      <c r="D136" s="2487"/>
      <c r="E136" s="2227"/>
      <c r="F136" s="2402"/>
      <c r="G136" s="2452"/>
      <c r="H136" s="1502"/>
      <c r="I136" s="653" t="s">
        <v>1199</v>
      </c>
      <c r="J136" s="573"/>
      <c r="K136" s="1502"/>
      <c r="L136" s="216"/>
      <c r="M136" s="343"/>
      <c r="N136" s="336"/>
      <c r="O136" s="1626"/>
      <c r="P136" s="1626"/>
      <c r="AH136" s="1633">
        <v>0</v>
      </c>
    </row>
    <row s="1637" customFormat="1" customHeight="1" ht="0.75" hidden="1">
      <c r="A137" s="1781"/>
      <c r="B137" s="1781"/>
      <c r="C137" s="371" t="s">
        <v>1207</v>
      </c>
      <c r="D137" s="2487"/>
      <c r="E137" s="2227"/>
      <c r="F137" s="2402"/>
      <c r="G137" s="402"/>
      <c r="H137" s="1502"/>
      <c r="I137" s="653"/>
      <c r="J137" s="573"/>
      <c r="K137" s="1502"/>
      <c r="L137" s="216"/>
      <c r="M137" s="343"/>
      <c r="N137" s="336"/>
      <c r="O137" s="1626"/>
      <c r="P137" s="1626"/>
      <c r="AH137" s="1633">
        <v>0</v>
      </c>
    </row>
    <row s="1637" customFormat="1" customHeight="1" ht="18.75" hidden="1">
      <c r="A138" s="1781" t="s">
        <v>260</v>
      </c>
      <c r="B138" s="1781" t="s">
        <v>261</v>
      </c>
      <c r="C138" s="371"/>
      <c r="D138" s="2487"/>
      <c r="E138" s="2227"/>
      <c r="F138" s="2402" t="str">
        <f>INDEX(PT_DIFFERENTIATION_VTAR,MATCH(A138,PT_DIFFERENTIATION_VTAR_ID,0))</f>
        <v>Тариф на водоотведение</v>
      </c>
      <c r="G138" s="2452" t="str">
        <f>INDEX(PT_DIFFERENTIATION_NTAR,MATCH(B138,PT_DIFFERENTIATION_NTAR_ID,0))</f>
        <v/>
      </c>
      <c r="H138" s="1861"/>
      <c r="I138" s="1740"/>
      <c r="J138" s="1774"/>
      <c r="K138" s="1779"/>
      <c r="L138" s="1861" t="s">
        <v>301</v>
      </c>
      <c r="M138" s="343"/>
      <c r="N138" s="336"/>
      <c r="O138" s="1626"/>
      <c r="P138" s="1626"/>
      <c r="AH138" s="1633">
        <v>0</v>
      </c>
    </row>
    <row s="1637" customFormat="1" customHeight="1" ht="18.75" hidden="1">
      <c r="A139" s="1781"/>
      <c r="B139" s="1781"/>
      <c r="C139" s="371" t="s">
        <v>1200</v>
      </c>
      <c r="D139" s="2487"/>
      <c r="E139" s="2227"/>
      <c r="F139" s="2402"/>
      <c r="G139" s="2452"/>
      <c r="H139" s="1502"/>
      <c r="I139" s="653" t="s">
        <v>1199</v>
      </c>
      <c r="J139" s="573"/>
      <c r="K139" s="1502"/>
      <c r="L139" s="216"/>
      <c r="M139" s="343"/>
      <c r="N139" s="336"/>
      <c r="O139" s="1626"/>
      <c r="P139" s="1626"/>
      <c r="AH139" s="1633">
        <v>0</v>
      </c>
    </row>
    <row s="1637" customFormat="1" customHeight="1" ht="0.75" hidden="1">
      <c r="A140" s="1781"/>
      <c r="B140" s="1781"/>
      <c r="C140" s="371" t="s">
        <v>1207</v>
      </c>
      <c r="D140" s="2487"/>
      <c r="E140" s="2227"/>
      <c r="F140" s="2402"/>
      <c r="G140" s="402"/>
      <c r="H140" s="1502"/>
      <c r="I140" s="653"/>
      <c r="J140" s="573"/>
      <c r="K140" s="1502"/>
      <c r="L140" s="216"/>
      <c r="M140" s="343"/>
      <c r="N140" s="336"/>
      <c r="O140" s="1626"/>
      <c r="P140" s="1626"/>
      <c r="AH140" s="1633">
        <v>0</v>
      </c>
    </row>
    <row s="1637" customFormat="1" customHeight="1" ht="18.75" hidden="1">
      <c r="A141" s="1781" t="s">
        <v>265</v>
      </c>
      <c r="B141" s="1781" t="s">
        <v>266</v>
      </c>
      <c r="C141" s="371"/>
      <c r="D141" s="2487"/>
      <c r="E141" s="2227"/>
      <c r="F141" s="2402" t="str">
        <f>INDEX(PT_DIFFERENTIATION_VTAR,MATCH(A141,PT_DIFFERENTIATION_VTAR_ID,0))</f>
        <v>Тариф на транспортировку сточных вод</v>
      </c>
      <c r="G141" s="2452" t="str">
        <f>INDEX(PT_DIFFERENTIATION_NTAR,MATCH(B141,PT_DIFFERENTIATION_NTAR_ID,0))</f>
        <v/>
      </c>
      <c r="H141" s="1861"/>
      <c r="I141" s="1740"/>
      <c r="J141" s="1774"/>
      <c r="K141" s="1779"/>
      <c r="L141" s="1861" t="s">
        <v>301</v>
      </c>
      <c r="M141" s="343"/>
      <c r="N141" s="336"/>
      <c r="O141" s="1626"/>
      <c r="P141" s="1626"/>
      <c r="AH141" s="1633">
        <v>0</v>
      </c>
    </row>
    <row s="1637" customFormat="1" customHeight="1" ht="18.75" hidden="1">
      <c r="A142" s="1781"/>
      <c r="B142" s="1781"/>
      <c r="C142" s="371" t="s">
        <v>1200</v>
      </c>
      <c r="D142" s="2487"/>
      <c r="E142" s="2227"/>
      <c r="F142" s="2402"/>
      <c r="G142" s="2452"/>
      <c r="H142" s="1502"/>
      <c r="I142" s="653" t="s">
        <v>1199</v>
      </c>
      <c r="J142" s="573"/>
      <c r="K142" s="1502"/>
      <c r="L142" s="216"/>
      <c r="M142" s="343"/>
      <c r="N142" s="336"/>
      <c r="O142" s="1626"/>
      <c r="P142" s="1626"/>
      <c r="AH142" s="1633">
        <v>0</v>
      </c>
    </row>
    <row s="1637" customFormat="1" customHeight="1" ht="0.75" hidden="1">
      <c r="A143" s="1781"/>
      <c r="B143" s="1781"/>
      <c r="C143" s="371" t="s">
        <v>1207</v>
      </c>
      <c r="D143" s="2487"/>
      <c r="E143" s="2227"/>
      <c r="F143" s="2402"/>
      <c r="G143" s="402"/>
      <c r="H143" s="1502"/>
      <c r="I143" s="653"/>
      <c r="J143" s="573"/>
      <c r="K143" s="1502"/>
      <c r="L143" s="216"/>
      <c r="M143" s="343"/>
      <c r="N143" s="336"/>
      <c r="O143" s="1626"/>
      <c r="P143" s="1626"/>
      <c r="AH143" s="1633">
        <v>0</v>
      </c>
    </row>
    <row s="1637" customFormat="1" customHeight="1" ht="18.75" hidden="1">
      <c r="A144" s="1781" t="s">
        <v>270</v>
      </c>
      <c r="B144" s="1781" t="s">
        <v>271</v>
      </c>
      <c r="C144" s="371"/>
      <c r="D144" s="2487"/>
      <c r="E144" s="2227"/>
      <c r="F144" s="2402" t="str">
        <f>INDEX(PT_DIFFERENTIATION_VTAR,MATCH(A144,PT_DIFFERENTIATION_VTAR_ID,0))</f>
        <v>Тариф на подключение (технологическое присоединение) к централизованной системе водоотведения</v>
      </c>
      <c r="G144" s="2452" t="str">
        <f>INDEX(PT_DIFFERENTIATION_NTAR,MATCH(B144,PT_DIFFERENTIATION_NTAR_ID,0))</f>
        <v/>
      </c>
      <c r="H144" s="1861"/>
      <c r="I144" s="1740"/>
      <c r="J144" s="1774"/>
      <c r="K144" s="1779"/>
      <c r="L144" s="1861" t="s">
        <v>301</v>
      </c>
      <c r="M144" s="343"/>
      <c r="N144" s="336"/>
      <c r="O144" s="1626"/>
      <c r="P144" s="1626"/>
      <c r="AH144" s="1633">
        <v>0</v>
      </c>
    </row>
    <row s="1637" customFormat="1" customHeight="1" ht="18.75" hidden="1">
      <c r="A145" s="1781"/>
      <c r="B145" s="1781"/>
      <c r="C145" s="371" t="s">
        <v>1200</v>
      </c>
      <c r="D145" s="2487"/>
      <c r="E145" s="2227"/>
      <c r="F145" s="2402"/>
      <c r="G145" s="2452"/>
      <c r="H145" s="1502"/>
      <c r="I145" s="653" t="s">
        <v>1199</v>
      </c>
      <c r="J145" s="573"/>
      <c r="K145" s="1502"/>
      <c r="L145" s="216"/>
      <c r="M145" s="343"/>
      <c r="N145" s="336"/>
      <c r="O145" s="1626"/>
      <c r="P145" s="1626"/>
      <c r="AH145" s="1633">
        <v>0</v>
      </c>
    </row>
    <row s="1637" customFormat="1" customHeight="1" ht="1.05">
      <c r="A146" s="1781"/>
      <c r="B146" s="1781"/>
      <c r="C146" s="371" t="s">
        <v>1207</v>
      </c>
      <c r="D146" s="2487"/>
      <c r="E146" s="2227"/>
      <c r="F146" s="2402"/>
      <c r="G146" s="402"/>
      <c r="H146" s="1502"/>
      <c r="I146" s="653"/>
      <c r="J146" s="573"/>
      <c r="K146" s="1502"/>
      <c r="L146" s="216"/>
      <c r="M146" s="343"/>
      <c r="N146" s="336"/>
      <c r="O146" s="1626"/>
      <c r="P146" s="1626"/>
      <c r="AH146" s="1633">
        <v>1</v>
      </c>
    </row>
    <row customHeight="1" ht="19.95">
      <c r="A147" s="1781"/>
      <c r="B147" s="1781"/>
      <c r="D147" s="378"/>
      <c r="E147" s="149" t="s">
        <v>91</v>
      </c>
      <c r="F147" s="248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5"/>
      <c r="H147" s="2485"/>
      <c r="I147" s="2485"/>
      <c r="J147" s="2485"/>
      <c r="K147" s="2485"/>
      <c r="L147" s="2485"/>
      <c r="M147" s="299"/>
      <c r="N147" s="336"/>
      <c r="AH147" s="376">
        <v>19</v>
      </c>
    </row>
    <row s="1637" customFormat="1" customHeight="1" ht="60.75" hidden="1">
      <c r="A148" s="1781" t="s">
        <v>152</v>
      </c>
      <c r="B148" s="1781" t="s">
        <v>153</v>
      </c>
      <c r="C148" s="371"/>
      <c r="D148" s="2487"/>
      <c r="E148" s="2227"/>
      <c r="F148" s="240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52" t="str">
        <f>INDEX(PT_DIFFERENTIATION_NTAR,MATCH(B148,PT_DIFFERENTIATION_NTAR_ID,0))</f>
        <v/>
      </c>
      <c r="H148" s="1861"/>
      <c r="I148" s="1740"/>
      <c r="J148" s="1774"/>
      <c r="K148" s="1779"/>
      <c r="L148" s="1861" t="s">
        <v>301</v>
      </c>
      <c r="M148" s="218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1"/>
      <c r="B149" s="1781"/>
      <c r="C149" s="371" t="s">
        <v>1200</v>
      </c>
      <c r="D149" s="2487"/>
      <c r="E149" s="2227"/>
      <c r="F149" s="2402"/>
      <c r="G149" s="2452"/>
      <c r="H149" s="1502"/>
      <c r="I149" s="653" t="s">
        <v>1199</v>
      </c>
      <c r="J149" s="573"/>
      <c r="K149" s="1502"/>
      <c r="L149" s="216"/>
      <c r="M149" s="2185"/>
      <c r="N149" s="336"/>
      <c r="O149" s="1626"/>
      <c r="P149" s="1626"/>
      <c r="AH149" s="1633">
        <v>0</v>
      </c>
    </row>
    <row s="1637" customFormat="1" customHeight="1" ht="0.75" hidden="1">
      <c r="A150" s="1781"/>
      <c r="B150" s="1781"/>
      <c r="C150" s="371" t="s">
        <v>1207</v>
      </c>
      <c r="D150" s="2487"/>
      <c r="E150" s="2227"/>
      <c r="F150" s="2402"/>
      <c r="G150" s="402"/>
      <c r="H150" s="1502"/>
      <c r="I150" s="653"/>
      <c r="J150" s="573"/>
      <c r="K150" s="1502"/>
      <c r="L150" s="216"/>
      <c r="M150" s="2185"/>
      <c r="N150" s="336"/>
      <c r="O150" s="1626"/>
      <c r="P150" s="1626"/>
      <c r="AH150" s="1633">
        <v>0</v>
      </c>
    </row>
    <row s="1637" customFormat="1" customHeight="1" ht="45" hidden="1">
      <c r="A151" s="1781" t="s">
        <v>157</v>
      </c>
      <c r="B151" s="1781" t="s">
        <v>158</v>
      </c>
      <c r="C151" s="371"/>
      <c r="D151" s="2487"/>
      <c r="E151" s="2227"/>
      <c r="F151" s="2402" t="str">
        <f>INDEX(PT_DIFFERENTIATION_VTAR,MATCH(A151,PT_DIFFERENTIATION_VTAR_ID,0))</f>
        <v/>
      </c>
      <c r="G151" s="2452" t="str">
        <f>INDEX(PT_DIFFERENTIATION_NTAR,MATCH(B151,PT_DIFFERENTIATION_NTAR_ID,0))</f>
        <v/>
      </c>
      <c r="H151" s="1861"/>
      <c r="I151" s="1740"/>
      <c r="J151" s="1774"/>
      <c r="K151" s="1779"/>
      <c r="L151" s="1861" t="s">
        <v>301</v>
      </c>
      <c r="M151" s="2186"/>
      <c r="N151" s="336"/>
      <c r="O151" s="1626"/>
      <c r="P151" s="1626"/>
      <c r="AH151" s="1633">
        <v>0</v>
      </c>
    </row>
    <row s="1637" customFormat="1" customHeight="1" ht="18.75" hidden="1">
      <c r="A152" s="1781"/>
      <c r="B152" s="1781"/>
      <c r="C152" s="371" t="s">
        <v>1200</v>
      </c>
      <c r="D152" s="2487"/>
      <c r="E152" s="2227"/>
      <c r="F152" s="2402"/>
      <c r="G152" s="2452"/>
      <c r="H152" s="1502"/>
      <c r="I152" s="653" t="s">
        <v>1199</v>
      </c>
      <c r="J152" s="573"/>
      <c r="K152" s="1502"/>
      <c r="L152" s="216"/>
      <c r="M152" s="1860"/>
      <c r="N152" s="336"/>
      <c r="O152" s="1626"/>
      <c r="P152" s="1626"/>
      <c r="AH152" s="1633">
        <v>0</v>
      </c>
    </row>
    <row s="1637" customFormat="1" customHeight="1" ht="0.75" hidden="1">
      <c r="A153" s="1781"/>
      <c r="B153" s="1781"/>
      <c r="C153" s="371" t="s">
        <v>1207</v>
      </c>
      <c r="D153" s="2487"/>
      <c r="E153" s="2227"/>
      <c r="F153" s="2402"/>
      <c r="G153" s="402"/>
      <c r="H153" s="1502"/>
      <c r="I153" s="653"/>
      <c r="J153" s="573"/>
      <c r="K153" s="1502"/>
      <c r="L153" s="216"/>
      <c r="M153" s="343"/>
      <c r="N153" s="336"/>
      <c r="O153" s="1626"/>
      <c r="P153" s="1626"/>
      <c r="AH153" s="1633">
        <v>0</v>
      </c>
    </row>
    <row s="1637" customFormat="1" customHeight="1" ht="45" hidden="1">
      <c r="A154" s="1781" t="s">
        <v>164</v>
      </c>
      <c r="B154" s="1781" t="s">
        <v>165</v>
      </c>
      <c r="C154" s="371"/>
      <c r="D154" s="2487"/>
      <c r="E154" s="2227"/>
      <c r="F154" s="240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52" t="str">
        <f>INDEX(PT_DIFFERENTIATION_NTAR,MATCH(B154,PT_DIFFERENTIATION_NTAR_ID,0))</f>
        <v/>
      </c>
      <c r="H154" s="1861"/>
      <c r="I154" s="1740"/>
      <c r="J154" s="1774"/>
      <c r="K154" s="1779"/>
      <c r="L154" s="1861" t="s">
        <v>301</v>
      </c>
      <c r="M154" s="343"/>
      <c r="N154" s="336"/>
      <c r="O154" s="1626"/>
      <c r="P154" s="1626"/>
      <c r="AH154" s="1633">
        <v>0</v>
      </c>
    </row>
    <row s="1637" customFormat="1" customHeight="1" ht="18.75" hidden="1">
      <c r="A155" s="1781"/>
      <c r="B155" s="1781"/>
      <c r="C155" s="371" t="s">
        <v>1200</v>
      </c>
      <c r="D155" s="2487"/>
      <c r="E155" s="2227"/>
      <c r="F155" s="2402"/>
      <c r="G155" s="2452"/>
      <c r="H155" s="1502"/>
      <c r="I155" s="653" t="s">
        <v>1199</v>
      </c>
      <c r="J155" s="573"/>
      <c r="K155" s="1502"/>
      <c r="L155" s="216"/>
      <c r="M155" s="343"/>
      <c r="N155" s="336"/>
      <c r="O155" s="1626"/>
      <c r="P155" s="1626"/>
      <c r="AH155" s="1633">
        <v>0</v>
      </c>
    </row>
    <row s="1637" customFormat="1" customHeight="1" ht="0.75" hidden="1">
      <c r="A156" s="1781"/>
      <c r="B156" s="1781"/>
      <c r="C156" s="371" t="s">
        <v>1207</v>
      </c>
      <c r="D156" s="2487"/>
      <c r="E156" s="2227"/>
      <c r="F156" s="2402"/>
      <c r="G156" s="402"/>
      <c r="H156" s="1502"/>
      <c r="I156" s="653"/>
      <c r="J156" s="573"/>
      <c r="K156" s="1502"/>
      <c r="L156" s="216"/>
      <c r="M156" s="343"/>
      <c r="N156" s="336"/>
      <c r="O156" s="1626"/>
      <c r="P156" s="1626"/>
      <c r="AH156" s="1633">
        <v>0</v>
      </c>
    </row>
    <row s="1637" customFormat="1" customHeight="1" ht="45" hidden="1">
      <c r="A157" s="1781" t="s">
        <v>170</v>
      </c>
      <c r="B157" s="1781" t="s">
        <v>171</v>
      </c>
      <c r="C157" s="371"/>
      <c r="D157" s="2487"/>
      <c r="E157" s="2227"/>
      <c r="F157" s="240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52" t="str">
        <f>INDEX(PT_DIFFERENTIATION_NTAR,MATCH(B157,PT_DIFFERENTIATION_NTAR_ID,0))</f>
        <v/>
      </c>
      <c r="H157" s="1861"/>
      <c r="I157" s="1740"/>
      <c r="J157" s="1774"/>
      <c r="K157" s="1779"/>
      <c r="L157" s="1861" t="s">
        <v>301</v>
      </c>
      <c r="M157" s="343"/>
      <c r="N157" s="336"/>
      <c r="O157" s="1626"/>
      <c r="P157" s="1626"/>
      <c r="AH157" s="1633">
        <v>0</v>
      </c>
    </row>
    <row s="1637" customFormat="1" customHeight="1" ht="18.75" hidden="1">
      <c r="A158" s="1781"/>
      <c r="B158" s="1781"/>
      <c r="C158" s="371" t="s">
        <v>1200</v>
      </c>
      <c r="D158" s="2487"/>
      <c r="E158" s="2227"/>
      <c r="F158" s="2402"/>
      <c r="G158" s="2452"/>
      <c r="H158" s="1502"/>
      <c r="I158" s="653" t="s">
        <v>1199</v>
      </c>
      <c r="J158" s="573"/>
      <c r="K158" s="1502"/>
      <c r="L158" s="216"/>
      <c r="M158" s="343"/>
      <c r="N158" s="336"/>
      <c r="O158" s="1626"/>
      <c r="P158" s="1626"/>
      <c r="AH158" s="1633">
        <v>0</v>
      </c>
    </row>
    <row s="1637" customFormat="1" customHeight="1" ht="0.75" hidden="1">
      <c r="A159" s="1781"/>
      <c r="B159" s="1781"/>
      <c r="C159" s="371" t="s">
        <v>1207</v>
      </c>
      <c r="D159" s="2487"/>
      <c r="E159" s="2227"/>
      <c r="F159" s="2402"/>
      <c r="G159" s="402"/>
      <c r="H159" s="1502"/>
      <c r="I159" s="653"/>
      <c r="J159" s="573"/>
      <c r="K159" s="1502"/>
      <c r="L159" s="216"/>
      <c r="M159" s="343"/>
      <c r="N159" s="336"/>
      <c r="O159" s="1626"/>
      <c r="P159" s="1626"/>
      <c r="AH159" s="1633">
        <v>0</v>
      </c>
    </row>
    <row s="1637" customFormat="1" customHeight="1" ht="18.75" hidden="1">
      <c r="A160" s="1781" t="s">
        <v>176</v>
      </c>
      <c r="B160" s="1781" t="s">
        <v>177</v>
      </c>
      <c r="C160" s="371"/>
      <c r="D160" s="2487"/>
      <c r="E160" s="2227"/>
      <c r="F160" s="2402" t="str">
        <f>INDEX(PT_DIFFERENTIATION_VTAR,MATCH(A160,PT_DIFFERENTIATION_VTAR_ID,0))</f>
        <v>Тарифы на услуги по передаче тепловой энергии</v>
      </c>
      <c r="G160" s="2452" t="str">
        <f>INDEX(PT_DIFFERENTIATION_NTAR,MATCH(B160,PT_DIFFERENTIATION_NTAR_ID,0))</f>
        <v/>
      </c>
      <c r="H160" s="1861"/>
      <c r="I160" s="1740"/>
      <c r="J160" s="1774"/>
      <c r="K160" s="1779"/>
      <c r="L160" s="1861" t="s">
        <v>301</v>
      </c>
      <c r="M160" s="343"/>
      <c r="N160" s="336"/>
      <c r="O160" s="1626"/>
      <c r="P160" s="1626"/>
      <c r="AH160" s="1633">
        <v>0</v>
      </c>
    </row>
    <row s="1637" customFormat="1" customHeight="1" ht="18.75" hidden="1">
      <c r="A161" s="1781"/>
      <c r="B161" s="1781"/>
      <c r="C161" s="371" t="s">
        <v>1200</v>
      </c>
      <c r="D161" s="2487"/>
      <c r="E161" s="2227"/>
      <c r="F161" s="2402"/>
      <c r="G161" s="2452"/>
      <c r="H161" s="1502"/>
      <c r="I161" s="653" t="s">
        <v>1199</v>
      </c>
      <c r="J161" s="573"/>
      <c r="K161" s="1502"/>
      <c r="L161" s="216"/>
      <c r="M161" s="343"/>
      <c r="N161" s="336"/>
      <c r="O161" s="1626"/>
      <c r="P161" s="1626"/>
      <c r="AH161" s="1633">
        <v>0</v>
      </c>
    </row>
    <row s="1637" customFormat="1" customHeight="1" ht="0.75" hidden="1">
      <c r="A162" s="1781"/>
      <c r="B162" s="1781"/>
      <c r="C162" s="371" t="s">
        <v>1207</v>
      </c>
      <c r="D162" s="2487"/>
      <c r="E162" s="2227"/>
      <c r="F162" s="2402"/>
      <c r="G162" s="402"/>
      <c r="H162" s="1502"/>
      <c r="I162" s="653"/>
      <c r="J162" s="573"/>
      <c r="K162" s="1502"/>
      <c r="L162" s="216"/>
      <c r="M162" s="343"/>
      <c r="N162" s="336"/>
      <c r="O162" s="1626"/>
      <c r="P162" s="1626"/>
      <c r="AH162" s="1633">
        <v>0</v>
      </c>
    </row>
    <row s="1637" customFormat="1" customHeight="1" ht="18.75" hidden="1">
      <c r="A163" s="1781" t="s">
        <v>182</v>
      </c>
      <c r="B163" s="1781" t="s">
        <v>183</v>
      </c>
      <c r="C163" s="371"/>
      <c r="D163" s="2487"/>
      <c r="E163" s="2227"/>
      <c r="F163" s="2402" t="str">
        <f>INDEX(PT_DIFFERENTIATION_VTAR,MATCH(A163,PT_DIFFERENTIATION_VTAR_ID,0))</f>
        <v>Тарифы на услуги по передаче теплоносителя</v>
      </c>
      <c r="G163" s="2452" t="str">
        <f>INDEX(PT_DIFFERENTIATION_NTAR,MATCH(B163,PT_DIFFERENTIATION_NTAR_ID,0))</f>
        <v/>
      </c>
      <c r="H163" s="1861"/>
      <c r="I163" s="1740"/>
      <c r="J163" s="1774"/>
      <c r="K163" s="1779"/>
      <c r="L163" s="1861" t="s">
        <v>301</v>
      </c>
      <c r="M163" s="343"/>
      <c r="N163" s="336"/>
      <c r="O163" s="1626"/>
      <c r="P163" s="1626"/>
      <c r="AH163" s="1633">
        <v>0</v>
      </c>
    </row>
    <row s="1637" customFormat="1" customHeight="1" ht="18.75" hidden="1">
      <c r="A164" s="1781"/>
      <c r="B164" s="1781"/>
      <c r="C164" s="371" t="s">
        <v>1200</v>
      </c>
      <c r="D164" s="2487"/>
      <c r="E164" s="2227"/>
      <c r="F164" s="2402"/>
      <c r="G164" s="2452"/>
      <c r="H164" s="1502"/>
      <c r="I164" s="653" t="s">
        <v>1199</v>
      </c>
      <c r="J164" s="573"/>
      <c r="K164" s="1502"/>
      <c r="L164" s="216"/>
      <c r="M164" s="343"/>
      <c r="N164" s="336"/>
      <c r="O164" s="1626"/>
      <c r="P164" s="1626"/>
      <c r="AH164" s="1633">
        <v>0</v>
      </c>
    </row>
    <row s="1637" customFormat="1" customHeight="1" ht="0.75" hidden="1">
      <c r="A165" s="1781"/>
      <c r="B165" s="1781"/>
      <c r="C165" s="371" t="s">
        <v>1207</v>
      </c>
      <c r="D165" s="2487"/>
      <c r="E165" s="2227"/>
      <c r="F165" s="2402"/>
      <c r="G165" s="402"/>
      <c r="H165" s="1502"/>
      <c r="I165" s="653"/>
      <c r="J165" s="573"/>
      <c r="K165" s="1502"/>
      <c r="L165" s="216"/>
      <c r="M165" s="343"/>
      <c r="N165" s="336"/>
      <c r="O165" s="1626"/>
      <c r="P165" s="1626"/>
      <c r="AH165" s="1633">
        <v>0</v>
      </c>
    </row>
    <row s="1637" customFormat="1" customHeight="1" ht="18.75" hidden="1">
      <c r="A166" s="1781" t="s">
        <v>188</v>
      </c>
      <c r="B166" s="1781" t="s">
        <v>189</v>
      </c>
      <c r="C166" s="371"/>
      <c r="D166" s="2487"/>
      <c r="E166" s="2227"/>
      <c r="F166" s="240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52" t="str">
        <f>INDEX(PT_DIFFERENTIATION_NTAR,MATCH(B166,PT_DIFFERENTIATION_NTAR_ID,0))</f>
        <v/>
      </c>
      <c r="H166" s="1861"/>
      <c r="I166" s="1740"/>
      <c r="J166" s="1774"/>
      <c r="K166" s="1779"/>
      <c r="L166" s="1861" t="s">
        <v>301</v>
      </c>
      <c r="M166" s="343"/>
      <c r="N166" s="336"/>
      <c r="O166" s="1626"/>
      <c r="P166" s="1626"/>
      <c r="AH166" s="1633">
        <v>0</v>
      </c>
    </row>
    <row s="1637" customFormat="1" customHeight="1" ht="18.75" hidden="1">
      <c r="A167" s="1781"/>
      <c r="B167" s="1781"/>
      <c r="C167" s="371" t="s">
        <v>1200</v>
      </c>
      <c r="D167" s="2487"/>
      <c r="E167" s="2227"/>
      <c r="F167" s="2402"/>
      <c r="G167" s="2452"/>
      <c r="H167" s="1502"/>
      <c r="I167" s="653" t="s">
        <v>1199</v>
      </c>
      <c r="J167" s="573"/>
      <c r="K167" s="1502"/>
      <c r="L167" s="216"/>
      <c r="M167" s="343"/>
      <c r="N167" s="336"/>
      <c r="O167" s="1626"/>
      <c r="P167" s="1626"/>
      <c r="AH167" s="1633">
        <v>0</v>
      </c>
    </row>
    <row s="1637" customFormat="1" customHeight="1" ht="0.75" hidden="1">
      <c r="A168" s="1781"/>
      <c r="B168" s="1781"/>
      <c r="C168" s="371" t="s">
        <v>1207</v>
      </c>
      <c r="D168" s="2487"/>
      <c r="E168" s="2227"/>
      <c r="F168" s="2402"/>
      <c r="G168" s="402"/>
      <c r="H168" s="1502"/>
      <c r="I168" s="653"/>
      <c r="J168" s="573"/>
      <c r="K168" s="1502"/>
      <c r="L168" s="216"/>
      <c r="M168" s="343"/>
      <c r="N168" s="336"/>
      <c r="O168" s="1626"/>
      <c r="P168" s="1626"/>
      <c r="AH168" s="1633">
        <v>0</v>
      </c>
    </row>
    <row s="1637" customFormat="1" customHeight="1" ht="18.75" hidden="1">
      <c r="A169" s="1781" t="s">
        <v>194</v>
      </c>
      <c r="B169" s="1781" t="s">
        <v>195</v>
      </c>
      <c r="C169" s="371"/>
      <c r="D169" s="2487"/>
      <c r="E169" s="2227"/>
      <c r="F169" s="2402" t="str">
        <f>INDEX(PT_DIFFERENTIATION_VTAR,MATCH(A169,PT_DIFFERENTIATION_VTAR_ID,0))</f>
        <v>Плата за подключение (технологическое присоединение) к системе теплоснабжения</v>
      </c>
      <c r="G169" s="2452" t="str">
        <f>INDEX(PT_DIFFERENTIATION_NTAR,MATCH(B169,PT_DIFFERENTIATION_NTAR_ID,0))</f>
        <v/>
      </c>
      <c r="H169" s="1861"/>
      <c r="I169" s="1740"/>
      <c r="J169" s="1774"/>
      <c r="K169" s="1779"/>
      <c r="L169" s="1861" t="s">
        <v>301</v>
      </c>
      <c r="M169" s="343"/>
      <c r="N169" s="336"/>
      <c r="O169" s="1626"/>
      <c r="P169" s="1626"/>
      <c r="AH169" s="1633">
        <v>0</v>
      </c>
    </row>
    <row s="1637" customFormat="1" customHeight="1" ht="18.75" hidden="1">
      <c r="A170" s="1781"/>
      <c r="B170" s="1781"/>
      <c r="C170" s="371" t="s">
        <v>1200</v>
      </c>
      <c r="D170" s="2487"/>
      <c r="E170" s="2227"/>
      <c r="F170" s="2402"/>
      <c r="G170" s="2452"/>
      <c r="H170" s="1502"/>
      <c r="I170" s="653" t="s">
        <v>1199</v>
      </c>
      <c r="J170" s="573"/>
      <c r="K170" s="1502"/>
      <c r="L170" s="216"/>
      <c r="M170" s="343"/>
      <c r="N170" s="336"/>
      <c r="O170" s="1626"/>
      <c r="P170" s="1626"/>
      <c r="AH170" s="1633">
        <v>0</v>
      </c>
    </row>
    <row s="1637" customFormat="1" customHeight="1" ht="0.75" hidden="1">
      <c r="A171" s="1781"/>
      <c r="B171" s="1781"/>
      <c r="C171" s="371" t="s">
        <v>1207</v>
      </c>
      <c r="D171" s="2487"/>
      <c r="E171" s="2227"/>
      <c r="F171" s="2402"/>
      <c r="G171" s="402"/>
      <c r="H171" s="1502"/>
      <c r="I171" s="653"/>
      <c r="J171" s="573"/>
      <c r="K171" s="1502"/>
      <c r="L171" s="216"/>
      <c r="M171" s="343"/>
      <c r="N171" s="336"/>
      <c r="O171" s="1626"/>
      <c r="P171" s="1626"/>
      <c r="AH171" s="1633">
        <v>0</v>
      </c>
    </row>
    <row s="1637" customFormat="1" customHeight="1" ht="18.75" hidden="1">
      <c r="A172" s="1781" t="s">
        <v>200</v>
      </c>
      <c r="B172" s="1781" t="s">
        <v>201</v>
      </c>
      <c r="C172" s="371"/>
      <c r="D172" s="2487"/>
      <c r="E172" s="2227"/>
      <c r="F172" s="2402" t="str">
        <f>INDEX(PT_DIFFERENTIATION_VTAR,MATCH(A172,PT_DIFFERENTIATION_VTAR_ID,0))</f>
        <v>Плата за подключение (технологическое присоединение) к системе теплоснабжения (индивидуальная)</v>
      </c>
      <c r="G172" s="2452" t="str">
        <f>INDEX(PT_DIFFERENTIATION_NTAR,MATCH(B172,PT_DIFFERENTIATION_NTAR_ID,0))</f>
        <v/>
      </c>
      <c r="H172" s="1988"/>
      <c r="I172" s="1740"/>
      <c r="J172" s="1774"/>
      <c r="K172" s="1779"/>
      <c r="L172" s="1988" t="s">
        <v>301</v>
      </c>
      <c r="M172" s="343"/>
      <c r="N172" s="336"/>
      <c r="O172" s="1626"/>
      <c r="P172" s="1626"/>
      <c r="AH172" s="1633">
        <v>0</v>
      </c>
    </row>
    <row s="1637" customFormat="1" customHeight="1" ht="18.75" hidden="1">
      <c r="A173" s="1781"/>
      <c r="B173" s="1781"/>
      <c r="C173" s="371" t="s">
        <v>1200</v>
      </c>
      <c r="D173" s="2487"/>
      <c r="E173" s="2227"/>
      <c r="F173" s="2402"/>
      <c r="G173" s="2452"/>
      <c r="H173" s="1502"/>
      <c r="I173" s="653" t="s">
        <v>1199</v>
      </c>
      <c r="J173" s="573"/>
      <c r="K173" s="1502"/>
      <c r="L173" s="216"/>
      <c r="M173" s="343"/>
      <c r="N173" s="336"/>
      <c r="O173" s="1626"/>
      <c r="P173" s="1626"/>
      <c r="AH173" s="1633">
        <v>0</v>
      </c>
    </row>
    <row s="1637" customFormat="1" customHeight="1" ht="0.75" hidden="1">
      <c r="A174" s="1781"/>
      <c r="B174" s="1781"/>
      <c r="C174" s="371" t="s">
        <v>1207</v>
      </c>
      <c r="D174" s="2487"/>
      <c r="E174" s="2227"/>
      <c r="F174" s="2402"/>
      <c r="G174" s="402"/>
      <c r="H174" s="1502"/>
      <c r="I174" s="653"/>
      <c r="J174" s="573"/>
      <c r="K174" s="1502"/>
      <c r="L174" s="216"/>
      <c r="M174" s="343"/>
      <c r="N174" s="336"/>
      <c r="O174" s="1626"/>
      <c r="P174" s="1626"/>
      <c r="AH174" s="1633">
        <v>0</v>
      </c>
    </row>
    <row s="1637" customFormat="1" customHeight="1" ht="18.75" hidden="1">
      <c r="A175" s="1781" t="s">
        <v>220</v>
      </c>
      <c r="B175" s="1781" t="s">
        <v>221</v>
      </c>
      <c r="C175" s="371"/>
      <c r="D175" s="2487"/>
      <c r="E175" s="2227"/>
      <c r="F175" s="2402" t="str">
        <f>INDEX(PT_DIFFERENTIATION_VTAR,MATCH(A175,PT_DIFFERENTIATION_VTAR_ID,0))</f>
        <v>Тариф на питьевую воду (питьевое водоснабжение)</v>
      </c>
      <c r="G175" s="2452" t="str">
        <f>INDEX(PT_DIFFERENTIATION_NTAR,MATCH(B175,PT_DIFFERENTIATION_NTAR_ID,0))</f>
        <v/>
      </c>
      <c r="H175" s="1861"/>
      <c r="I175" s="1740"/>
      <c r="J175" s="1774"/>
      <c r="K175" s="1779"/>
      <c r="L175" s="1861" t="s">
        <v>301</v>
      </c>
      <c r="M175" s="343"/>
      <c r="N175" s="336"/>
      <c r="O175" s="1626"/>
      <c r="P175" s="1626"/>
      <c r="AH175" s="1633">
        <v>0</v>
      </c>
    </row>
    <row s="1637" customFormat="1" customHeight="1" ht="18.75" hidden="1">
      <c r="A176" s="1781"/>
      <c r="B176" s="1781"/>
      <c r="C176" s="371" t="s">
        <v>1200</v>
      </c>
      <c r="D176" s="2487"/>
      <c r="E176" s="2227"/>
      <c r="F176" s="2402"/>
      <c r="G176" s="2452"/>
      <c r="H176" s="1502"/>
      <c r="I176" s="653" t="s">
        <v>1199</v>
      </c>
      <c r="J176" s="573"/>
      <c r="K176" s="1502"/>
      <c r="L176" s="216"/>
      <c r="M176" s="343"/>
      <c r="N176" s="336"/>
      <c r="O176" s="1626"/>
      <c r="P176" s="1626"/>
      <c r="AH176" s="1633">
        <v>0</v>
      </c>
    </row>
    <row s="1637" customFormat="1" customHeight="1" ht="0.75" hidden="1">
      <c r="A177" s="1781"/>
      <c r="B177" s="1781"/>
      <c r="C177" s="371" t="s">
        <v>1207</v>
      </c>
      <c r="D177" s="2487"/>
      <c r="E177" s="2227"/>
      <c r="F177" s="2402"/>
      <c r="G177" s="402"/>
      <c r="H177" s="1502"/>
      <c r="I177" s="653"/>
      <c r="J177" s="573"/>
      <c r="K177" s="1502"/>
      <c r="L177" s="216"/>
      <c r="M177" s="343"/>
      <c r="N177" s="336"/>
      <c r="O177" s="1626"/>
      <c r="P177" s="1626"/>
      <c r="AH177" s="1633">
        <v>0</v>
      </c>
    </row>
    <row s="1637" customFormat="1" customHeight="1" ht="18.75" hidden="1">
      <c r="A178" s="1781" t="s">
        <v>225</v>
      </c>
      <c r="B178" s="1781" t="s">
        <v>226</v>
      </c>
      <c r="C178" s="371"/>
      <c r="D178" s="2487"/>
      <c r="E178" s="2227"/>
      <c r="F178" s="2402" t="str">
        <f>INDEX(PT_DIFFERENTIATION_VTAR,MATCH(A178,PT_DIFFERENTIATION_VTAR_ID,0))</f>
        <v>Тариф на техническую воду</v>
      </c>
      <c r="G178" s="2452" t="str">
        <f>INDEX(PT_DIFFERENTIATION_NTAR,MATCH(B178,PT_DIFFERENTIATION_NTAR_ID,0))</f>
        <v/>
      </c>
      <c r="H178" s="1861"/>
      <c r="I178" s="1740"/>
      <c r="J178" s="1774"/>
      <c r="K178" s="1779"/>
      <c r="L178" s="1861" t="s">
        <v>301</v>
      </c>
      <c r="M178" s="343"/>
      <c r="N178" s="336"/>
      <c r="O178" s="1626"/>
      <c r="P178" s="1626"/>
      <c r="AH178" s="1633">
        <v>0</v>
      </c>
    </row>
    <row s="1637" customFormat="1" customHeight="1" ht="18.75" hidden="1">
      <c r="A179" s="1781"/>
      <c r="B179" s="1781"/>
      <c r="C179" s="371" t="s">
        <v>1200</v>
      </c>
      <c r="D179" s="2487"/>
      <c r="E179" s="2227"/>
      <c r="F179" s="2402"/>
      <c r="G179" s="2452"/>
      <c r="H179" s="1502"/>
      <c r="I179" s="653" t="s">
        <v>1199</v>
      </c>
      <c r="J179" s="573"/>
      <c r="K179" s="1502"/>
      <c r="L179" s="216"/>
      <c r="M179" s="343"/>
      <c r="N179" s="336"/>
      <c r="O179" s="1626"/>
      <c r="P179" s="1626"/>
      <c r="AH179" s="1633">
        <v>0</v>
      </c>
    </row>
    <row s="1637" customFormat="1" customHeight="1" ht="0.75" hidden="1">
      <c r="A180" s="1781"/>
      <c r="B180" s="1781"/>
      <c r="C180" s="371" t="s">
        <v>1207</v>
      </c>
      <c r="D180" s="2487"/>
      <c r="E180" s="2227"/>
      <c r="F180" s="2402"/>
      <c r="G180" s="402"/>
      <c r="H180" s="1502"/>
      <c r="I180" s="653"/>
      <c r="J180" s="573"/>
      <c r="K180" s="1502"/>
      <c r="L180" s="216"/>
      <c r="M180" s="343"/>
      <c r="N180" s="336"/>
      <c r="O180" s="1626"/>
      <c r="P180" s="1626"/>
      <c r="AH180" s="1633">
        <v>0</v>
      </c>
    </row>
    <row s="1637" customFormat="1" customHeight="1" ht="18.75" hidden="1">
      <c r="A181" s="1781" t="s">
        <v>230</v>
      </c>
      <c r="B181" s="1781" t="s">
        <v>231</v>
      </c>
      <c r="C181" s="371"/>
      <c r="D181" s="2487"/>
      <c r="E181" s="2227"/>
      <c r="F181" s="2402" t="str">
        <f>INDEX(PT_DIFFERENTIATION_VTAR,MATCH(A181,PT_DIFFERENTIATION_VTAR_ID,0))</f>
        <v>Тариф на транспортировку воды</v>
      </c>
      <c r="G181" s="2452" t="str">
        <f>INDEX(PT_DIFFERENTIATION_NTAR,MATCH(B181,PT_DIFFERENTIATION_NTAR_ID,0))</f>
        <v/>
      </c>
      <c r="H181" s="1861"/>
      <c r="I181" s="1740"/>
      <c r="J181" s="1774"/>
      <c r="K181" s="1779"/>
      <c r="L181" s="1861" t="s">
        <v>301</v>
      </c>
      <c r="M181" s="343"/>
      <c r="N181" s="336"/>
      <c r="O181" s="1626"/>
      <c r="P181" s="1626"/>
      <c r="AH181" s="1633">
        <v>0</v>
      </c>
    </row>
    <row s="1637" customFormat="1" customHeight="1" ht="18.75" hidden="1">
      <c r="A182" s="1781"/>
      <c r="B182" s="1781"/>
      <c r="C182" s="371" t="s">
        <v>1200</v>
      </c>
      <c r="D182" s="2487"/>
      <c r="E182" s="2227"/>
      <c r="F182" s="2402"/>
      <c r="G182" s="2452"/>
      <c r="H182" s="1502"/>
      <c r="I182" s="653" t="s">
        <v>1199</v>
      </c>
      <c r="J182" s="573"/>
      <c r="K182" s="1502"/>
      <c r="L182" s="216"/>
      <c r="M182" s="343"/>
      <c r="N182" s="336"/>
      <c r="O182" s="1626"/>
      <c r="P182" s="1626"/>
      <c r="AH182" s="1633">
        <v>0</v>
      </c>
    </row>
    <row s="1637" customFormat="1" customHeight="1" ht="0.75" hidden="1">
      <c r="A183" s="1781"/>
      <c r="B183" s="1781"/>
      <c r="C183" s="371" t="s">
        <v>1207</v>
      </c>
      <c r="D183" s="2487"/>
      <c r="E183" s="2227"/>
      <c r="F183" s="2402"/>
      <c r="G183" s="402"/>
      <c r="H183" s="1502"/>
      <c r="I183" s="653"/>
      <c r="J183" s="573"/>
      <c r="K183" s="1502"/>
      <c r="L183" s="216"/>
      <c r="M183" s="343"/>
      <c r="N183" s="336"/>
      <c r="O183" s="1626"/>
      <c r="P183" s="1626"/>
      <c r="AH183" s="1633">
        <v>0</v>
      </c>
    </row>
    <row s="1637" customFormat="1" customHeight="1" ht="18.75" hidden="1">
      <c r="A184" s="1781" t="s">
        <v>235</v>
      </c>
      <c r="B184" s="1781" t="s">
        <v>236</v>
      </c>
      <c r="C184" s="371"/>
      <c r="D184" s="2487"/>
      <c r="E184" s="2227"/>
      <c r="F184" s="2402" t="str">
        <f>INDEX(PT_DIFFERENTIATION_VTAR,MATCH(A184,PT_DIFFERENTIATION_VTAR_ID,0))</f>
        <v>Тариф на подвоз воды</v>
      </c>
      <c r="G184" s="2452" t="str">
        <f>INDEX(PT_DIFFERENTIATION_NTAR,MATCH(B184,PT_DIFFERENTIATION_NTAR_ID,0))</f>
        <v/>
      </c>
      <c r="H184" s="1861"/>
      <c r="I184" s="1740"/>
      <c r="J184" s="1774"/>
      <c r="K184" s="1779"/>
      <c r="L184" s="1861" t="s">
        <v>301</v>
      </c>
      <c r="M184" s="343"/>
      <c r="N184" s="336"/>
      <c r="O184" s="1626"/>
      <c r="P184" s="1626"/>
      <c r="AH184" s="1633">
        <v>0</v>
      </c>
    </row>
    <row s="1637" customFormat="1" customHeight="1" ht="18.75" hidden="1">
      <c r="A185" s="1781"/>
      <c r="B185" s="1781"/>
      <c r="C185" s="371" t="s">
        <v>1200</v>
      </c>
      <c r="D185" s="2487"/>
      <c r="E185" s="2227"/>
      <c r="F185" s="2402"/>
      <c r="G185" s="2452"/>
      <c r="H185" s="1502"/>
      <c r="I185" s="653" t="s">
        <v>1199</v>
      </c>
      <c r="J185" s="573"/>
      <c r="K185" s="1502"/>
      <c r="L185" s="216"/>
      <c r="M185" s="343"/>
      <c r="N185" s="336"/>
      <c r="O185" s="1626"/>
      <c r="P185" s="1626"/>
      <c r="AH185" s="1633">
        <v>0</v>
      </c>
    </row>
    <row s="1637" customFormat="1" customHeight="1" ht="0.75" hidden="1">
      <c r="A186" s="1781"/>
      <c r="B186" s="1781"/>
      <c r="C186" s="371" t="s">
        <v>1207</v>
      </c>
      <c r="D186" s="2487"/>
      <c r="E186" s="2227"/>
      <c r="F186" s="2402"/>
      <c r="G186" s="402"/>
      <c r="H186" s="1502"/>
      <c r="I186" s="653"/>
      <c r="J186" s="573"/>
      <c r="K186" s="1502"/>
      <c r="L186" s="216"/>
      <c r="M186" s="343"/>
      <c r="N186" s="336"/>
      <c r="O186" s="1626"/>
      <c r="P186" s="1626"/>
      <c r="AH186" s="1633">
        <v>0</v>
      </c>
    </row>
    <row s="1637" customFormat="1" customHeight="1" ht="18.75" hidden="1">
      <c r="A187" s="1781" t="s">
        <v>240</v>
      </c>
      <c r="B187" s="1781" t="s">
        <v>241</v>
      </c>
      <c r="C187" s="371"/>
      <c r="D187" s="2487"/>
      <c r="E187" s="2227"/>
      <c r="F187" s="240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52" t="str">
        <f>INDEX(PT_DIFFERENTIATION_NTAR,MATCH(B187,PT_DIFFERENTIATION_NTAR_ID,0))</f>
        <v/>
      </c>
      <c r="H187" s="1861"/>
      <c r="I187" s="1740"/>
      <c r="J187" s="1774"/>
      <c r="K187" s="1779"/>
      <c r="L187" s="1861" t="s">
        <v>301</v>
      </c>
      <c r="M187" s="343"/>
      <c r="N187" s="336"/>
      <c r="O187" s="1626"/>
      <c r="P187" s="1626"/>
      <c r="AH187" s="1633">
        <v>0</v>
      </c>
    </row>
    <row s="1637" customFormat="1" customHeight="1" ht="18.75" hidden="1">
      <c r="A188" s="1781"/>
      <c r="B188" s="1781"/>
      <c r="C188" s="371" t="s">
        <v>1200</v>
      </c>
      <c r="D188" s="2487"/>
      <c r="E188" s="2227"/>
      <c r="F188" s="2402"/>
      <c r="G188" s="2452"/>
      <c r="H188" s="1502"/>
      <c r="I188" s="653" t="s">
        <v>1199</v>
      </c>
      <c r="J188" s="573"/>
      <c r="K188" s="1502"/>
      <c r="L188" s="216"/>
      <c r="M188" s="343"/>
      <c r="N188" s="336"/>
      <c r="O188" s="1626"/>
      <c r="P188" s="1626"/>
      <c r="AH188" s="1633">
        <v>0</v>
      </c>
    </row>
    <row s="1637" customFormat="1" customHeight="1" ht="0.75" hidden="1">
      <c r="A189" s="1781"/>
      <c r="B189" s="1781"/>
      <c r="C189" s="371" t="s">
        <v>1207</v>
      </c>
      <c r="D189" s="2487"/>
      <c r="E189" s="2227"/>
      <c r="F189" s="2402"/>
      <c r="G189" s="402"/>
      <c r="H189" s="1502"/>
      <c r="I189" s="653"/>
      <c r="J189" s="573"/>
      <c r="K189" s="1502"/>
      <c r="L189" s="216"/>
      <c r="M189" s="343"/>
      <c r="N189" s="336"/>
      <c r="O189" s="1626"/>
      <c r="P189" s="1626"/>
      <c r="AH189" s="1633">
        <v>0</v>
      </c>
    </row>
    <row s="1637" customFormat="1" customHeight="1" ht="18.75" hidden="1">
      <c r="A190" s="1781" t="s">
        <v>245</v>
      </c>
      <c r="B190" s="1781" t="s">
        <v>246</v>
      </c>
      <c r="C190" s="371"/>
      <c r="D190" s="2487"/>
      <c r="E190" s="2227"/>
      <c r="F190" s="2402" t="str">
        <f>INDEX(PT_DIFFERENTIATION_VTAR,MATCH(A190,PT_DIFFERENTIATION_VTAR_ID,0))</f>
        <v>Тариф на горячую воду (горячее водоснабжение)</v>
      </c>
      <c r="G190" s="2452" t="str">
        <f>INDEX(PT_DIFFERENTIATION_NTAR,MATCH(B190,PT_DIFFERENTIATION_NTAR_ID,0))</f>
        <v/>
      </c>
      <c r="H190" s="1861"/>
      <c r="I190" s="1740"/>
      <c r="J190" s="1774"/>
      <c r="K190" s="1779"/>
      <c r="L190" s="1861" t="s">
        <v>301</v>
      </c>
      <c r="M190" s="343"/>
      <c r="N190" s="336"/>
      <c r="O190" s="1626"/>
      <c r="P190" s="1626"/>
      <c r="AH190" s="1633">
        <v>0</v>
      </c>
    </row>
    <row s="1637" customFormat="1" customHeight="1" ht="18.75" hidden="1">
      <c r="A191" s="1781"/>
      <c r="B191" s="1781"/>
      <c r="C191" s="371" t="s">
        <v>1200</v>
      </c>
      <c r="D191" s="2487"/>
      <c r="E191" s="2227"/>
      <c r="F191" s="2402"/>
      <c r="G191" s="2452"/>
      <c r="H191" s="1502"/>
      <c r="I191" s="653" t="s">
        <v>1199</v>
      </c>
      <c r="J191" s="573"/>
      <c r="K191" s="1502"/>
      <c r="L191" s="216"/>
      <c r="M191" s="343"/>
      <c r="N191" s="336"/>
      <c r="O191" s="1626"/>
      <c r="P191" s="1626"/>
      <c r="AH191" s="1633">
        <v>0</v>
      </c>
    </row>
    <row s="1637" customFormat="1" customHeight="1" ht="0.75" hidden="1">
      <c r="A192" s="1781"/>
      <c r="B192" s="1781"/>
      <c r="C192" s="371" t="s">
        <v>1207</v>
      </c>
      <c r="D192" s="2487"/>
      <c r="E192" s="2227"/>
      <c r="F192" s="2402"/>
      <c r="G192" s="402"/>
      <c r="H192" s="1502"/>
      <c r="I192" s="653"/>
      <c r="J192" s="573"/>
      <c r="K192" s="1502"/>
      <c r="L192" s="216"/>
      <c r="M192" s="343"/>
      <c r="N192" s="336"/>
      <c r="O192" s="1626"/>
      <c r="P192" s="1626"/>
      <c r="AH192" s="1633">
        <v>0</v>
      </c>
    </row>
    <row s="1637" customFormat="1" customHeight="1" ht="18.75" hidden="1">
      <c r="A193" s="1781" t="s">
        <v>250</v>
      </c>
      <c r="B193" s="1781" t="s">
        <v>251</v>
      </c>
      <c r="C193" s="371"/>
      <c r="D193" s="2487"/>
      <c r="E193" s="2227"/>
      <c r="F193" s="2402" t="str">
        <f>INDEX(PT_DIFFERENTIATION_VTAR,MATCH(A193,PT_DIFFERENTIATION_VTAR_ID,0))</f>
        <v>Тариф на транспортировку горячей воды</v>
      </c>
      <c r="G193" s="2452" t="str">
        <f>INDEX(PT_DIFFERENTIATION_NTAR,MATCH(B193,PT_DIFFERENTIATION_NTAR_ID,0))</f>
        <v/>
      </c>
      <c r="H193" s="1861"/>
      <c r="I193" s="1740"/>
      <c r="J193" s="1774"/>
      <c r="K193" s="1779"/>
      <c r="L193" s="1861" t="s">
        <v>301</v>
      </c>
      <c r="M193" s="343"/>
      <c r="N193" s="336"/>
      <c r="O193" s="1626"/>
      <c r="P193" s="1626"/>
      <c r="AH193" s="1633">
        <v>0</v>
      </c>
    </row>
    <row s="1637" customFormat="1" customHeight="1" ht="18.75" hidden="1">
      <c r="A194" s="1781"/>
      <c r="B194" s="1781"/>
      <c r="C194" s="371" t="s">
        <v>1200</v>
      </c>
      <c r="D194" s="2487"/>
      <c r="E194" s="2227"/>
      <c r="F194" s="2402"/>
      <c r="G194" s="2452"/>
      <c r="H194" s="1502"/>
      <c r="I194" s="653" t="s">
        <v>1199</v>
      </c>
      <c r="J194" s="573"/>
      <c r="K194" s="1502"/>
      <c r="L194" s="216"/>
      <c r="M194" s="343"/>
      <c r="N194" s="336"/>
      <c r="O194" s="1626"/>
      <c r="P194" s="1626"/>
      <c r="AH194" s="1633">
        <v>0</v>
      </c>
    </row>
    <row s="1637" customFormat="1" customHeight="1" ht="0.75" hidden="1">
      <c r="A195" s="1781"/>
      <c r="B195" s="1781"/>
      <c r="C195" s="371" t="s">
        <v>1207</v>
      </c>
      <c r="D195" s="2487"/>
      <c r="E195" s="2227"/>
      <c r="F195" s="2402"/>
      <c r="G195" s="402"/>
      <c r="H195" s="1502"/>
      <c r="I195" s="653"/>
      <c r="J195" s="573"/>
      <c r="K195" s="1502"/>
      <c r="L195" s="216"/>
      <c r="M195" s="343"/>
      <c r="N195" s="336"/>
      <c r="O195" s="1626"/>
      <c r="P195" s="1626"/>
      <c r="AH195" s="1633">
        <v>0</v>
      </c>
    </row>
    <row s="1637" customFormat="1" customHeight="1" ht="18.75" hidden="1">
      <c r="A196" s="1781" t="s">
        <v>255</v>
      </c>
      <c r="B196" s="1781" t="s">
        <v>256</v>
      </c>
      <c r="C196" s="371"/>
      <c r="D196" s="2487"/>
      <c r="E196" s="2227"/>
      <c r="F196" s="240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52" t="str">
        <f>INDEX(PT_DIFFERENTIATION_NTAR,MATCH(B196,PT_DIFFERENTIATION_NTAR_ID,0))</f>
        <v/>
      </c>
      <c r="H196" s="1861"/>
      <c r="I196" s="1740"/>
      <c r="J196" s="1774"/>
      <c r="K196" s="1779"/>
      <c r="L196" s="1861" t="s">
        <v>301</v>
      </c>
      <c r="M196" s="343"/>
      <c r="N196" s="336"/>
      <c r="O196" s="1626"/>
      <c r="P196" s="1626"/>
      <c r="AH196" s="1633">
        <v>0</v>
      </c>
    </row>
    <row s="1637" customFormat="1" customHeight="1" ht="18.75" hidden="1">
      <c r="A197" s="1781"/>
      <c r="B197" s="1781"/>
      <c r="C197" s="371" t="s">
        <v>1200</v>
      </c>
      <c r="D197" s="2487"/>
      <c r="E197" s="2227"/>
      <c r="F197" s="2402"/>
      <c r="G197" s="2452"/>
      <c r="H197" s="1502"/>
      <c r="I197" s="653" t="s">
        <v>1199</v>
      </c>
      <c r="J197" s="573"/>
      <c r="K197" s="1502"/>
      <c r="L197" s="216"/>
      <c r="M197" s="343"/>
      <c r="N197" s="336"/>
      <c r="O197" s="1626"/>
      <c r="P197" s="1626"/>
      <c r="AH197" s="1633">
        <v>0</v>
      </c>
    </row>
    <row s="1637" customFormat="1" customHeight="1" ht="0.75" hidden="1">
      <c r="A198" s="1781"/>
      <c r="B198" s="1781"/>
      <c r="C198" s="371" t="s">
        <v>1207</v>
      </c>
      <c r="D198" s="2487"/>
      <c r="E198" s="2227"/>
      <c r="F198" s="2402"/>
      <c r="G198" s="402"/>
      <c r="H198" s="1502"/>
      <c r="I198" s="653"/>
      <c r="J198" s="573"/>
      <c r="K198" s="1502"/>
      <c r="L198" s="216"/>
      <c r="M198" s="343"/>
      <c r="N198" s="336"/>
      <c r="O198" s="1626"/>
      <c r="P198" s="1626"/>
      <c r="AH198" s="1633">
        <v>0</v>
      </c>
    </row>
    <row s="1637" customFormat="1" customHeight="1" ht="18.75" hidden="1">
      <c r="A199" s="1781" t="s">
        <v>260</v>
      </c>
      <c r="B199" s="1781" t="s">
        <v>261</v>
      </c>
      <c r="C199" s="371"/>
      <c r="D199" s="2487"/>
      <c r="E199" s="2227"/>
      <c r="F199" s="2402" t="str">
        <f>INDEX(PT_DIFFERENTIATION_VTAR,MATCH(A199,PT_DIFFERENTIATION_VTAR_ID,0))</f>
        <v>Тариф на водоотведение</v>
      </c>
      <c r="G199" s="2452" t="str">
        <f>INDEX(PT_DIFFERENTIATION_NTAR,MATCH(B199,PT_DIFFERENTIATION_NTAR_ID,0))</f>
        <v/>
      </c>
      <c r="H199" s="1861"/>
      <c r="I199" s="1740"/>
      <c r="J199" s="1774"/>
      <c r="K199" s="1779"/>
      <c r="L199" s="1861" t="s">
        <v>301</v>
      </c>
      <c r="M199" s="343"/>
      <c r="N199" s="336"/>
      <c r="O199" s="1626"/>
      <c r="P199" s="1626"/>
      <c r="AH199" s="1633">
        <v>0</v>
      </c>
    </row>
    <row s="1637" customFormat="1" customHeight="1" ht="18.75" hidden="1">
      <c r="A200" s="1781"/>
      <c r="B200" s="1781"/>
      <c r="C200" s="371" t="s">
        <v>1200</v>
      </c>
      <c r="D200" s="2487"/>
      <c r="E200" s="2227"/>
      <c r="F200" s="2402"/>
      <c r="G200" s="2452"/>
      <c r="H200" s="1502"/>
      <c r="I200" s="653" t="s">
        <v>1199</v>
      </c>
      <c r="J200" s="573"/>
      <c r="K200" s="1502"/>
      <c r="L200" s="216"/>
      <c r="M200" s="343"/>
      <c r="N200" s="336"/>
      <c r="O200" s="1626"/>
      <c r="P200" s="1626"/>
      <c r="AH200" s="1633">
        <v>0</v>
      </c>
    </row>
    <row s="1637" customFormat="1" customHeight="1" ht="0.75" hidden="1">
      <c r="A201" s="1781"/>
      <c r="B201" s="1781"/>
      <c r="C201" s="371" t="s">
        <v>1207</v>
      </c>
      <c r="D201" s="2487"/>
      <c r="E201" s="2227"/>
      <c r="F201" s="2402"/>
      <c r="G201" s="402"/>
      <c r="H201" s="1502"/>
      <c r="I201" s="653"/>
      <c r="J201" s="573"/>
      <c r="K201" s="1502"/>
      <c r="L201" s="216"/>
      <c r="M201" s="343"/>
      <c r="N201" s="336"/>
      <c r="O201" s="1626"/>
      <c r="P201" s="1626"/>
      <c r="AH201" s="1633">
        <v>0</v>
      </c>
    </row>
    <row s="1637" customFormat="1" customHeight="1" ht="18.75" hidden="1">
      <c r="A202" s="1781" t="s">
        <v>265</v>
      </c>
      <c r="B202" s="1781" t="s">
        <v>266</v>
      </c>
      <c r="C202" s="371"/>
      <c r="D202" s="2487"/>
      <c r="E202" s="2227"/>
      <c r="F202" s="2402" t="str">
        <f>INDEX(PT_DIFFERENTIATION_VTAR,MATCH(A202,PT_DIFFERENTIATION_VTAR_ID,0))</f>
        <v>Тариф на транспортировку сточных вод</v>
      </c>
      <c r="G202" s="2452" t="str">
        <f>INDEX(PT_DIFFERENTIATION_NTAR,MATCH(B202,PT_DIFFERENTIATION_NTAR_ID,0))</f>
        <v/>
      </c>
      <c r="H202" s="1861"/>
      <c r="I202" s="1740"/>
      <c r="J202" s="1774"/>
      <c r="K202" s="1779"/>
      <c r="L202" s="1861" t="s">
        <v>301</v>
      </c>
      <c r="M202" s="343"/>
      <c r="N202" s="336"/>
      <c r="O202" s="1626"/>
      <c r="P202" s="1626"/>
      <c r="AH202" s="1633">
        <v>0</v>
      </c>
    </row>
    <row s="1637" customFormat="1" customHeight="1" ht="18.75" hidden="1">
      <c r="A203" s="1781"/>
      <c r="B203" s="1781"/>
      <c r="C203" s="371" t="s">
        <v>1200</v>
      </c>
      <c r="D203" s="2487"/>
      <c r="E203" s="2227"/>
      <c r="F203" s="2402"/>
      <c r="G203" s="2452"/>
      <c r="H203" s="1502"/>
      <c r="I203" s="653" t="s">
        <v>1199</v>
      </c>
      <c r="J203" s="573"/>
      <c r="K203" s="1502"/>
      <c r="L203" s="216"/>
      <c r="M203" s="343"/>
      <c r="N203" s="336"/>
      <c r="O203" s="1626"/>
      <c r="P203" s="1626"/>
      <c r="AH203" s="1633">
        <v>0</v>
      </c>
    </row>
    <row s="1637" customFormat="1" customHeight="1" ht="0.75" hidden="1">
      <c r="A204" s="1781"/>
      <c r="B204" s="1781"/>
      <c r="C204" s="371" t="s">
        <v>1207</v>
      </c>
      <c r="D204" s="2487"/>
      <c r="E204" s="2227"/>
      <c r="F204" s="2402"/>
      <c r="G204" s="402"/>
      <c r="H204" s="1502"/>
      <c r="I204" s="653"/>
      <c r="J204" s="573"/>
      <c r="K204" s="1502"/>
      <c r="L204" s="216"/>
      <c r="M204" s="343"/>
      <c r="N204" s="336"/>
      <c r="O204" s="1626"/>
      <c r="P204" s="1626"/>
      <c r="AH204" s="1633">
        <v>0</v>
      </c>
    </row>
    <row s="1637" customFormat="1" customHeight="1" ht="18.75" hidden="1">
      <c r="A205" s="1781" t="s">
        <v>270</v>
      </c>
      <c r="B205" s="1781" t="s">
        <v>271</v>
      </c>
      <c r="C205" s="371"/>
      <c r="D205" s="2487"/>
      <c r="E205" s="2227"/>
      <c r="F205" s="2402" t="str">
        <f>INDEX(PT_DIFFERENTIATION_VTAR,MATCH(A205,PT_DIFFERENTIATION_VTAR_ID,0))</f>
        <v>Тариф на подключение (технологическое присоединение) к централизованной системе водоотведения</v>
      </c>
      <c r="G205" s="2452" t="str">
        <f>INDEX(PT_DIFFERENTIATION_NTAR,MATCH(B205,PT_DIFFERENTIATION_NTAR_ID,0))</f>
        <v/>
      </c>
      <c r="H205" s="1861"/>
      <c r="I205" s="1740"/>
      <c r="J205" s="1774"/>
      <c r="K205" s="1779"/>
      <c r="L205" s="1861" t="s">
        <v>301</v>
      </c>
      <c r="M205" s="343"/>
      <c r="N205" s="336"/>
      <c r="O205" s="1626"/>
      <c r="P205" s="1626"/>
      <c r="AH205" s="1633">
        <v>0</v>
      </c>
    </row>
    <row s="1637" customFormat="1" customHeight="1" ht="18.75" hidden="1">
      <c r="A206" s="1781"/>
      <c r="B206" s="1781"/>
      <c r="C206" s="371" t="s">
        <v>1200</v>
      </c>
      <c r="D206" s="2487"/>
      <c r="E206" s="2227"/>
      <c r="F206" s="2402"/>
      <c r="G206" s="2452"/>
      <c r="H206" s="1502"/>
      <c r="I206" s="653" t="s">
        <v>1199</v>
      </c>
      <c r="J206" s="573"/>
      <c r="K206" s="1502"/>
      <c r="L206" s="216"/>
      <c r="M206" s="343"/>
      <c r="N206" s="336"/>
      <c r="O206" s="1626"/>
      <c r="P206" s="1626"/>
      <c r="AH206" s="1633">
        <v>0</v>
      </c>
    </row>
    <row s="1637" customFormat="1" customHeight="1" ht="1.05">
      <c r="A207" s="1781"/>
      <c r="B207" s="1781"/>
      <c r="C207" s="371" t="s">
        <v>1207</v>
      </c>
      <c r="D207" s="2487"/>
      <c r="E207" s="2227"/>
      <c r="F207" s="2402"/>
      <c r="G207" s="402"/>
      <c r="H207" s="1502"/>
      <c r="I207" s="653"/>
      <c r="J207" s="573"/>
      <c r="K207" s="1502"/>
      <c r="L207" s="216"/>
      <c r="M207" s="343"/>
      <c r="N207" s="336"/>
      <c r="O207" s="1626"/>
      <c r="P207" s="1626"/>
      <c r="AH207" s="1633">
        <v>1</v>
      </c>
    </row>
    <row customHeight="1" ht="27.299999999999997">
      <c r="A208" s="1781"/>
      <c r="B208" s="1781"/>
      <c r="D208" s="378"/>
      <c r="E208" s="149" t="s">
        <v>108</v>
      </c>
      <c r="F208" s="24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5"/>
      <c r="H208" s="2485"/>
      <c r="I208" s="2485"/>
      <c r="J208" s="2485"/>
      <c r="K208" s="2485"/>
      <c r="L208" s="2485"/>
      <c r="M208" s="299"/>
      <c r="N208" s="336"/>
      <c r="AH208" s="376">
        <v>26</v>
      </c>
    </row>
    <row s="1637" customFormat="1" customHeight="1" ht="60.75" hidden="1">
      <c r="A209" s="1781" t="s">
        <v>152</v>
      </c>
      <c r="B209" s="1781" t="s">
        <v>153</v>
      </c>
      <c r="C209" s="371"/>
      <c r="D209" s="2487"/>
      <c r="E209" s="2227"/>
      <c r="F209" s="240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52" t="str">
        <f>INDEX(PT_DIFFERENTIATION_NTAR,MATCH(B209,PT_DIFFERENTIATION_NTAR_ID,0))</f>
        <v/>
      </c>
      <c r="H209" s="1861"/>
      <c r="I209" s="1740"/>
      <c r="J209" s="1774"/>
      <c r="K209" s="1779"/>
      <c r="L209" s="1861" t="s">
        <v>301</v>
      </c>
      <c r="M209" s="218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1"/>
      <c r="B210" s="1781"/>
      <c r="C210" s="371" t="s">
        <v>1200</v>
      </c>
      <c r="D210" s="2487"/>
      <c r="E210" s="2227"/>
      <c r="F210" s="2402"/>
      <c r="G210" s="2452"/>
      <c r="H210" s="1502"/>
      <c r="I210" s="653" t="s">
        <v>1199</v>
      </c>
      <c r="J210" s="573"/>
      <c r="K210" s="1502"/>
      <c r="L210" s="216"/>
      <c r="M210" s="2185"/>
      <c r="N210" s="336"/>
      <c r="O210" s="1626"/>
      <c r="P210" s="1626"/>
      <c r="AH210" s="1633">
        <v>0</v>
      </c>
    </row>
    <row s="1637" customFormat="1" customHeight="1" ht="0.75" hidden="1">
      <c r="A211" s="1781"/>
      <c r="B211" s="1781"/>
      <c r="C211" s="371" t="s">
        <v>1207</v>
      </c>
      <c r="D211" s="2487"/>
      <c r="E211" s="2227"/>
      <c r="F211" s="2402"/>
      <c r="G211" s="402"/>
      <c r="H211" s="1502"/>
      <c r="I211" s="653"/>
      <c r="J211" s="573"/>
      <c r="K211" s="1502"/>
      <c r="L211" s="216"/>
      <c r="M211" s="2185"/>
      <c r="N211" s="336"/>
      <c r="O211" s="1626"/>
      <c r="P211" s="1626"/>
      <c r="AH211" s="1633">
        <v>0</v>
      </c>
    </row>
    <row s="1637" customFormat="1" customHeight="1" ht="45" hidden="1">
      <c r="A212" s="1781" t="s">
        <v>157</v>
      </c>
      <c r="B212" s="1781" t="s">
        <v>158</v>
      </c>
      <c r="C212" s="371"/>
      <c r="D212" s="2487"/>
      <c r="E212" s="2227"/>
      <c r="F212" s="2402" t="str">
        <f>INDEX(PT_DIFFERENTIATION_VTAR,MATCH(A212,PT_DIFFERENTIATION_VTAR_ID,0))</f>
        <v/>
      </c>
      <c r="G212" s="2452" t="str">
        <f>INDEX(PT_DIFFERENTIATION_NTAR,MATCH(B212,PT_DIFFERENTIATION_NTAR_ID,0))</f>
        <v/>
      </c>
      <c r="H212" s="1861"/>
      <c r="I212" s="1740"/>
      <c r="J212" s="1774"/>
      <c r="K212" s="1779"/>
      <c r="L212" s="1861" t="s">
        <v>301</v>
      </c>
      <c r="M212" s="2186"/>
      <c r="N212" s="336"/>
      <c r="O212" s="1626"/>
      <c r="P212" s="1626"/>
      <c r="AH212" s="1633">
        <v>0</v>
      </c>
    </row>
    <row s="1637" customFormat="1" customHeight="1" ht="18.75" hidden="1">
      <c r="A213" s="1781"/>
      <c r="B213" s="1781"/>
      <c r="C213" s="371" t="s">
        <v>1200</v>
      </c>
      <c r="D213" s="2487"/>
      <c r="E213" s="2227"/>
      <c r="F213" s="2402"/>
      <c r="G213" s="2452"/>
      <c r="H213" s="1502"/>
      <c r="I213" s="653" t="s">
        <v>1199</v>
      </c>
      <c r="J213" s="573"/>
      <c r="K213" s="1502"/>
      <c r="L213" s="216"/>
      <c r="M213" s="1860"/>
      <c r="N213" s="336"/>
      <c r="O213" s="1626"/>
      <c r="P213" s="1626"/>
      <c r="AH213" s="1633">
        <v>0</v>
      </c>
    </row>
    <row s="1637" customFormat="1" customHeight="1" ht="0.75" hidden="1">
      <c r="A214" s="1781"/>
      <c r="B214" s="1781"/>
      <c r="C214" s="371" t="s">
        <v>1207</v>
      </c>
      <c r="D214" s="2487"/>
      <c r="E214" s="2227"/>
      <c r="F214" s="2402"/>
      <c r="G214" s="402"/>
      <c r="H214" s="1502"/>
      <c r="I214" s="653"/>
      <c r="J214" s="573"/>
      <c r="K214" s="1502"/>
      <c r="L214" s="216"/>
      <c r="M214" s="343"/>
      <c r="N214" s="336"/>
      <c r="O214" s="1626"/>
      <c r="P214" s="1626"/>
      <c r="AH214" s="1633">
        <v>0</v>
      </c>
    </row>
    <row s="1637" customFormat="1" customHeight="1" ht="45" hidden="1">
      <c r="A215" s="1781" t="s">
        <v>164</v>
      </c>
      <c r="B215" s="1781" t="s">
        <v>165</v>
      </c>
      <c r="C215" s="371"/>
      <c r="D215" s="2487"/>
      <c r="E215" s="2227"/>
      <c r="F215" s="240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52" t="str">
        <f>INDEX(PT_DIFFERENTIATION_NTAR,MATCH(B215,PT_DIFFERENTIATION_NTAR_ID,0))</f>
        <v/>
      </c>
      <c r="H215" s="1861"/>
      <c r="I215" s="1740"/>
      <c r="J215" s="1774"/>
      <c r="K215" s="1779"/>
      <c r="L215" s="1861" t="s">
        <v>301</v>
      </c>
      <c r="M215" s="343"/>
      <c r="N215" s="336"/>
      <c r="O215" s="1626"/>
      <c r="P215" s="1626"/>
      <c r="AH215" s="1633">
        <v>0</v>
      </c>
    </row>
    <row s="1637" customFormat="1" customHeight="1" ht="18.75" hidden="1">
      <c r="A216" s="1781"/>
      <c r="B216" s="1781"/>
      <c r="C216" s="371" t="s">
        <v>1200</v>
      </c>
      <c r="D216" s="2487"/>
      <c r="E216" s="2227"/>
      <c r="F216" s="2402"/>
      <c r="G216" s="2452"/>
      <c r="H216" s="1502"/>
      <c r="I216" s="653" t="s">
        <v>1199</v>
      </c>
      <c r="J216" s="573"/>
      <c r="K216" s="1502"/>
      <c r="L216" s="216"/>
      <c r="M216" s="343"/>
      <c r="N216" s="336"/>
      <c r="O216" s="1626"/>
      <c r="P216" s="1626"/>
      <c r="AH216" s="1633">
        <v>0</v>
      </c>
    </row>
    <row s="1637" customFormat="1" customHeight="1" ht="0.75" hidden="1">
      <c r="A217" s="1781"/>
      <c r="B217" s="1781"/>
      <c r="C217" s="371" t="s">
        <v>1207</v>
      </c>
      <c r="D217" s="2487"/>
      <c r="E217" s="2227"/>
      <c r="F217" s="2402"/>
      <c r="G217" s="402"/>
      <c r="H217" s="1502"/>
      <c r="I217" s="653"/>
      <c r="J217" s="573"/>
      <c r="K217" s="1502"/>
      <c r="L217" s="216"/>
      <c r="M217" s="343"/>
      <c r="N217" s="336"/>
      <c r="O217" s="1626"/>
      <c r="P217" s="1626"/>
      <c r="AH217" s="1633">
        <v>0</v>
      </c>
    </row>
    <row s="1637" customFormat="1" customHeight="1" ht="45" hidden="1">
      <c r="A218" s="1781" t="s">
        <v>170</v>
      </c>
      <c r="B218" s="1781" t="s">
        <v>171</v>
      </c>
      <c r="C218" s="371"/>
      <c r="D218" s="2487"/>
      <c r="E218" s="2227"/>
      <c r="F218" s="240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52" t="str">
        <f>INDEX(PT_DIFFERENTIATION_NTAR,MATCH(B218,PT_DIFFERENTIATION_NTAR_ID,0))</f>
        <v/>
      </c>
      <c r="H218" s="1861"/>
      <c r="I218" s="1740"/>
      <c r="J218" s="1774"/>
      <c r="K218" s="1779"/>
      <c r="L218" s="1861" t="s">
        <v>301</v>
      </c>
      <c r="M218" s="343"/>
      <c r="N218" s="336"/>
      <c r="O218" s="1626"/>
      <c r="P218" s="1626"/>
      <c r="AH218" s="1633">
        <v>0</v>
      </c>
    </row>
    <row s="1637" customFormat="1" customHeight="1" ht="18.75" hidden="1">
      <c r="A219" s="1781"/>
      <c r="B219" s="1781"/>
      <c r="C219" s="371" t="s">
        <v>1200</v>
      </c>
      <c r="D219" s="2487"/>
      <c r="E219" s="2227"/>
      <c r="F219" s="2402"/>
      <c r="G219" s="2452"/>
      <c r="H219" s="1502"/>
      <c r="I219" s="653" t="s">
        <v>1199</v>
      </c>
      <c r="J219" s="573"/>
      <c r="K219" s="1502"/>
      <c r="L219" s="216"/>
      <c r="M219" s="343"/>
      <c r="N219" s="336"/>
      <c r="O219" s="1626"/>
      <c r="P219" s="1626"/>
      <c r="AH219" s="1633">
        <v>0</v>
      </c>
    </row>
    <row s="1637" customFormat="1" customHeight="1" ht="0.75" hidden="1">
      <c r="A220" s="1781"/>
      <c r="B220" s="1781"/>
      <c r="C220" s="371" t="s">
        <v>1207</v>
      </c>
      <c r="D220" s="2487"/>
      <c r="E220" s="2227"/>
      <c r="F220" s="2402"/>
      <c r="G220" s="402"/>
      <c r="H220" s="1502"/>
      <c r="I220" s="653"/>
      <c r="J220" s="573"/>
      <c r="K220" s="1502"/>
      <c r="L220" s="216"/>
      <c r="M220" s="343"/>
      <c r="N220" s="336"/>
      <c r="O220" s="1626"/>
      <c r="P220" s="1626"/>
      <c r="AH220" s="1633">
        <v>0</v>
      </c>
    </row>
    <row s="1637" customFormat="1" customHeight="1" ht="18.75" hidden="1">
      <c r="A221" s="1781" t="s">
        <v>176</v>
      </c>
      <c r="B221" s="1781" t="s">
        <v>177</v>
      </c>
      <c r="C221" s="371"/>
      <c r="D221" s="2487"/>
      <c r="E221" s="2227"/>
      <c r="F221" s="2402" t="str">
        <f>INDEX(PT_DIFFERENTIATION_VTAR,MATCH(A221,PT_DIFFERENTIATION_VTAR_ID,0))</f>
        <v>Тарифы на услуги по передаче тепловой энергии</v>
      </c>
      <c r="G221" s="2452" t="str">
        <f>INDEX(PT_DIFFERENTIATION_NTAR,MATCH(B221,PT_DIFFERENTIATION_NTAR_ID,0))</f>
        <v/>
      </c>
      <c r="H221" s="1861"/>
      <c r="I221" s="1740"/>
      <c r="J221" s="1774"/>
      <c r="K221" s="1779"/>
      <c r="L221" s="1861" t="s">
        <v>301</v>
      </c>
      <c r="M221" s="343"/>
      <c r="N221" s="336"/>
      <c r="O221" s="1626"/>
      <c r="P221" s="1626"/>
      <c r="AH221" s="1633">
        <v>0</v>
      </c>
    </row>
    <row s="1637" customFormat="1" customHeight="1" ht="18.75" hidden="1">
      <c r="A222" s="1781"/>
      <c r="B222" s="1781"/>
      <c r="C222" s="371" t="s">
        <v>1200</v>
      </c>
      <c r="D222" s="2487"/>
      <c r="E222" s="2227"/>
      <c r="F222" s="2402"/>
      <c r="G222" s="2452"/>
      <c r="H222" s="1502"/>
      <c r="I222" s="653" t="s">
        <v>1199</v>
      </c>
      <c r="J222" s="573"/>
      <c r="K222" s="1502"/>
      <c r="L222" s="216"/>
      <c r="M222" s="343"/>
      <c r="N222" s="336"/>
      <c r="O222" s="1626"/>
      <c r="P222" s="1626"/>
      <c r="AH222" s="1633">
        <v>0</v>
      </c>
    </row>
    <row s="1637" customFormat="1" customHeight="1" ht="0.75" hidden="1">
      <c r="A223" s="1781"/>
      <c r="B223" s="1781"/>
      <c r="C223" s="371" t="s">
        <v>1207</v>
      </c>
      <c r="D223" s="2487"/>
      <c r="E223" s="2227"/>
      <c r="F223" s="2402"/>
      <c r="G223" s="402"/>
      <c r="H223" s="1502"/>
      <c r="I223" s="653"/>
      <c r="J223" s="573"/>
      <c r="K223" s="1502"/>
      <c r="L223" s="216"/>
      <c r="M223" s="343"/>
      <c r="N223" s="336"/>
      <c r="O223" s="1626"/>
      <c r="P223" s="1626"/>
      <c r="AH223" s="1633">
        <v>0</v>
      </c>
    </row>
    <row s="1637" customFormat="1" customHeight="1" ht="18.75" hidden="1">
      <c r="A224" s="1781" t="s">
        <v>182</v>
      </c>
      <c r="B224" s="1781" t="s">
        <v>183</v>
      </c>
      <c r="C224" s="371"/>
      <c r="D224" s="2487"/>
      <c r="E224" s="2227"/>
      <c r="F224" s="2402" t="str">
        <f>INDEX(PT_DIFFERENTIATION_VTAR,MATCH(A224,PT_DIFFERENTIATION_VTAR_ID,0))</f>
        <v>Тарифы на услуги по передаче теплоносителя</v>
      </c>
      <c r="G224" s="2452" t="str">
        <f>INDEX(PT_DIFFERENTIATION_NTAR,MATCH(B224,PT_DIFFERENTIATION_NTAR_ID,0))</f>
        <v/>
      </c>
      <c r="H224" s="1861"/>
      <c r="I224" s="1740"/>
      <c r="J224" s="1774"/>
      <c r="K224" s="1779"/>
      <c r="L224" s="1861" t="s">
        <v>301</v>
      </c>
      <c r="M224" s="343"/>
      <c r="N224" s="336"/>
      <c r="O224" s="1626"/>
      <c r="P224" s="1626"/>
      <c r="AH224" s="1633">
        <v>0</v>
      </c>
    </row>
    <row s="1637" customFormat="1" customHeight="1" ht="18.75" hidden="1">
      <c r="A225" s="1781"/>
      <c r="B225" s="1781"/>
      <c r="C225" s="371" t="s">
        <v>1200</v>
      </c>
      <c r="D225" s="2487"/>
      <c r="E225" s="2227"/>
      <c r="F225" s="2402"/>
      <c r="G225" s="2452"/>
      <c r="H225" s="1502"/>
      <c r="I225" s="653" t="s">
        <v>1199</v>
      </c>
      <c r="J225" s="573"/>
      <c r="K225" s="1502"/>
      <c r="L225" s="216"/>
      <c r="M225" s="343"/>
      <c r="N225" s="336"/>
      <c r="O225" s="1626"/>
      <c r="P225" s="1626"/>
      <c r="AH225" s="1633">
        <v>0</v>
      </c>
    </row>
    <row s="1637" customFormat="1" customHeight="1" ht="0.75" hidden="1">
      <c r="A226" s="1781"/>
      <c r="B226" s="1781"/>
      <c r="C226" s="371" t="s">
        <v>1207</v>
      </c>
      <c r="D226" s="2487"/>
      <c r="E226" s="2227"/>
      <c r="F226" s="2402"/>
      <c r="G226" s="402"/>
      <c r="H226" s="1502"/>
      <c r="I226" s="653"/>
      <c r="J226" s="573"/>
      <c r="K226" s="1502"/>
      <c r="L226" s="216"/>
      <c r="M226" s="343"/>
      <c r="N226" s="336"/>
      <c r="O226" s="1626"/>
      <c r="P226" s="1626"/>
      <c r="AH226" s="1633">
        <v>0</v>
      </c>
    </row>
    <row s="1637" customFormat="1" customHeight="1" ht="18.75" hidden="1">
      <c r="A227" s="1781" t="s">
        <v>188</v>
      </c>
      <c r="B227" s="1781" t="s">
        <v>189</v>
      </c>
      <c r="C227" s="371"/>
      <c r="D227" s="2487"/>
      <c r="E227" s="2227"/>
      <c r="F227" s="240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52" t="str">
        <f>INDEX(PT_DIFFERENTIATION_NTAR,MATCH(B227,PT_DIFFERENTIATION_NTAR_ID,0))</f>
        <v/>
      </c>
      <c r="H227" s="1861"/>
      <c r="I227" s="1740"/>
      <c r="J227" s="1774"/>
      <c r="K227" s="1779"/>
      <c r="L227" s="1861" t="s">
        <v>301</v>
      </c>
      <c r="M227" s="343"/>
      <c r="N227" s="336"/>
      <c r="O227" s="1626"/>
      <c r="P227" s="1626"/>
      <c r="AH227" s="1633">
        <v>0</v>
      </c>
    </row>
    <row s="1637" customFormat="1" customHeight="1" ht="18.75" hidden="1">
      <c r="A228" s="1781"/>
      <c r="B228" s="1781"/>
      <c r="C228" s="371" t="s">
        <v>1200</v>
      </c>
      <c r="D228" s="2487"/>
      <c r="E228" s="2227"/>
      <c r="F228" s="2402"/>
      <c r="G228" s="2452"/>
      <c r="H228" s="1502"/>
      <c r="I228" s="653" t="s">
        <v>1199</v>
      </c>
      <c r="J228" s="573"/>
      <c r="K228" s="1502"/>
      <c r="L228" s="216"/>
      <c r="M228" s="343"/>
      <c r="N228" s="336"/>
      <c r="O228" s="1626"/>
      <c r="P228" s="1626"/>
      <c r="AH228" s="1633">
        <v>0</v>
      </c>
    </row>
    <row s="1637" customFormat="1" customHeight="1" ht="0.75" hidden="1">
      <c r="A229" s="1781"/>
      <c r="B229" s="1781"/>
      <c r="C229" s="371" t="s">
        <v>1207</v>
      </c>
      <c r="D229" s="2487"/>
      <c r="E229" s="2227"/>
      <c r="F229" s="2402"/>
      <c r="G229" s="402"/>
      <c r="H229" s="1502"/>
      <c r="I229" s="653"/>
      <c r="J229" s="573"/>
      <c r="K229" s="1502"/>
      <c r="L229" s="216"/>
      <c r="M229" s="343"/>
      <c r="N229" s="336"/>
      <c r="O229" s="1626"/>
      <c r="P229" s="1626"/>
      <c r="AH229" s="1633">
        <v>0</v>
      </c>
    </row>
    <row s="1637" customFormat="1" customHeight="1" ht="18.75" hidden="1">
      <c r="A230" s="1781" t="s">
        <v>194</v>
      </c>
      <c r="B230" s="1781" t="s">
        <v>195</v>
      </c>
      <c r="C230" s="371"/>
      <c r="D230" s="2487"/>
      <c r="E230" s="2227"/>
      <c r="F230" s="2402" t="str">
        <f>INDEX(PT_DIFFERENTIATION_VTAR,MATCH(A230,PT_DIFFERENTIATION_VTAR_ID,0))</f>
        <v>Плата за подключение (технологическое присоединение) к системе теплоснабжения</v>
      </c>
      <c r="G230" s="2452" t="str">
        <f>INDEX(PT_DIFFERENTIATION_NTAR,MATCH(B230,PT_DIFFERENTIATION_NTAR_ID,0))</f>
        <v/>
      </c>
      <c r="H230" s="1861"/>
      <c r="I230" s="1740"/>
      <c r="J230" s="1774"/>
      <c r="K230" s="1779"/>
      <c r="L230" s="1861" t="s">
        <v>301</v>
      </c>
      <c r="M230" s="343"/>
      <c r="N230" s="336"/>
      <c r="O230" s="1626"/>
      <c r="P230" s="1626"/>
      <c r="AH230" s="1633">
        <v>0</v>
      </c>
    </row>
    <row s="1637" customFormat="1" customHeight="1" ht="18.75" hidden="1">
      <c r="A231" s="1781"/>
      <c r="B231" s="1781"/>
      <c r="C231" s="371" t="s">
        <v>1200</v>
      </c>
      <c r="D231" s="2487"/>
      <c r="E231" s="2227"/>
      <c r="F231" s="2402"/>
      <c r="G231" s="2452"/>
      <c r="H231" s="1502"/>
      <c r="I231" s="653" t="s">
        <v>1199</v>
      </c>
      <c r="J231" s="573"/>
      <c r="K231" s="1502"/>
      <c r="L231" s="216"/>
      <c r="M231" s="343"/>
      <c r="N231" s="336"/>
      <c r="O231" s="1626"/>
      <c r="P231" s="1626"/>
      <c r="AH231" s="1633">
        <v>0</v>
      </c>
    </row>
    <row s="1637" customFormat="1" customHeight="1" ht="0.75" hidden="1">
      <c r="A232" s="1781"/>
      <c r="B232" s="1781"/>
      <c r="C232" s="371" t="s">
        <v>1207</v>
      </c>
      <c r="D232" s="2487"/>
      <c r="E232" s="2227"/>
      <c r="F232" s="2402"/>
      <c r="G232" s="402"/>
      <c r="H232" s="1502"/>
      <c r="I232" s="653"/>
      <c r="J232" s="573"/>
      <c r="K232" s="1502"/>
      <c r="L232" s="216"/>
      <c r="M232" s="343"/>
      <c r="N232" s="336"/>
      <c r="O232" s="1626"/>
      <c r="P232" s="1626"/>
      <c r="AH232" s="1633">
        <v>0</v>
      </c>
    </row>
    <row s="1637" customFormat="1" customHeight="1" ht="18.75" hidden="1">
      <c r="A233" s="1781" t="s">
        <v>200</v>
      </c>
      <c r="B233" s="1781" t="s">
        <v>201</v>
      </c>
      <c r="C233" s="371"/>
      <c r="D233" s="2487"/>
      <c r="E233" s="2227"/>
      <c r="F233" s="2402" t="str">
        <f>INDEX(PT_DIFFERENTIATION_VTAR,MATCH(A233,PT_DIFFERENTIATION_VTAR_ID,0))</f>
        <v>Плата за подключение (технологическое присоединение) к системе теплоснабжения (индивидуальная)</v>
      </c>
      <c r="G233" s="2452" t="str">
        <f>INDEX(PT_DIFFERENTIATION_NTAR,MATCH(B233,PT_DIFFERENTIATION_NTAR_ID,0))</f>
        <v/>
      </c>
      <c r="H233" s="1988"/>
      <c r="I233" s="1740"/>
      <c r="J233" s="1774"/>
      <c r="K233" s="1779"/>
      <c r="L233" s="1988" t="s">
        <v>301</v>
      </c>
      <c r="M233" s="343"/>
      <c r="N233" s="336"/>
      <c r="O233" s="1626"/>
      <c r="P233" s="1626"/>
      <c r="AH233" s="1633">
        <v>0</v>
      </c>
    </row>
    <row s="1637" customFormat="1" customHeight="1" ht="18.75" hidden="1">
      <c r="A234" s="1781"/>
      <c r="B234" s="1781"/>
      <c r="C234" s="371" t="s">
        <v>1200</v>
      </c>
      <c r="D234" s="2487"/>
      <c r="E234" s="2227"/>
      <c r="F234" s="2402"/>
      <c r="G234" s="2452"/>
      <c r="H234" s="1502"/>
      <c r="I234" s="653" t="s">
        <v>1199</v>
      </c>
      <c r="J234" s="573"/>
      <c r="K234" s="1502"/>
      <c r="L234" s="216"/>
      <c r="M234" s="343"/>
      <c r="N234" s="336"/>
      <c r="O234" s="1626"/>
      <c r="P234" s="1626"/>
      <c r="AH234" s="1633">
        <v>0</v>
      </c>
    </row>
    <row s="1637" customFormat="1" customHeight="1" ht="0.75" hidden="1">
      <c r="A235" s="1781"/>
      <c r="B235" s="1781"/>
      <c r="C235" s="371" t="s">
        <v>1207</v>
      </c>
      <c r="D235" s="2487"/>
      <c r="E235" s="2227"/>
      <c r="F235" s="2402"/>
      <c r="G235" s="402"/>
      <c r="H235" s="1502"/>
      <c r="I235" s="653"/>
      <c r="J235" s="573"/>
      <c r="K235" s="1502"/>
      <c r="L235" s="216"/>
      <c r="M235" s="343"/>
      <c r="N235" s="336"/>
      <c r="O235" s="1626"/>
      <c r="P235" s="1626"/>
      <c r="AH235" s="1633">
        <v>0</v>
      </c>
    </row>
    <row s="1637" customFormat="1" customHeight="1" ht="18.75" hidden="1">
      <c r="A236" s="1781" t="s">
        <v>220</v>
      </c>
      <c r="B236" s="1781" t="s">
        <v>221</v>
      </c>
      <c r="C236" s="371"/>
      <c r="D236" s="2487"/>
      <c r="E236" s="2227"/>
      <c r="F236" s="2402" t="str">
        <f>INDEX(PT_DIFFERENTIATION_VTAR,MATCH(A236,PT_DIFFERENTIATION_VTAR_ID,0))</f>
        <v>Тариф на питьевую воду (питьевое водоснабжение)</v>
      </c>
      <c r="G236" s="2452" t="str">
        <f>INDEX(PT_DIFFERENTIATION_NTAR,MATCH(B236,PT_DIFFERENTIATION_NTAR_ID,0))</f>
        <v/>
      </c>
      <c r="H236" s="1861"/>
      <c r="I236" s="1740"/>
      <c r="J236" s="1774"/>
      <c r="K236" s="1779"/>
      <c r="L236" s="1861" t="s">
        <v>301</v>
      </c>
      <c r="M236" s="343"/>
      <c r="N236" s="336"/>
      <c r="O236" s="1626"/>
      <c r="P236" s="1626"/>
      <c r="AH236" s="1633">
        <v>0</v>
      </c>
    </row>
    <row s="1637" customFormat="1" customHeight="1" ht="18.75" hidden="1">
      <c r="A237" s="1781"/>
      <c r="B237" s="1781"/>
      <c r="C237" s="371" t="s">
        <v>1200</v>
      </c>
      <c r="D237" s="2487"/>
      <c r="E237" s="2227"/>
      <c r="F237" s="2402"/>
      <c r="G237" s="2452"/>
      <c r="H237" s="1502"/>
      <c r="I237" s="653" t="s">
        <v>1199</v>
      </c>
      <c r="J237" s="573"/>
      <c r="K237" s="1502"/>
      <c r="L237" s="216"/>
      <c r="M237" s="343"/>
      <c r="N237" s="336"/>
      <c r="O237" s="1626"/>
      <c r="P237" s="1626"/>
      <c r="AH237" s="1633">
        <v>0</v>
      </c>
    </row>
    <row s="1637" customFormat="1" customHeight="1" ht="0.75" hidden="1">
      <c r="A238" s="1781"/>
      <c r="B238" s="1781"/>
      <c r="C238" s="371" t="s">
        <v>1207</v>
      </c>
      <c r="D238" s="2487"/>
      <c r="E238" s="2227"/>
      <c r="F238" s="2402"/>
      <c r="G238" s="402"/>
      <c r="H238" s="1502"/>
      <c r="I238" s="653"/>
      <c r="J238" s="573"/>
      <c r="K238" s="1502"/>
      <c r="L238" s="216"/>
      <c r="M238" s="343"/>
      <c r="N238" s="336"/>
      <c r="O238" s="1626"/>
      <c r="P238" s="1626"/>
      <c r="AH238" s="1633">
        <v>0</v>
      </c>
    </row>
    <row s="1637" customFormat="1" customHeight="1" ht="18.75" hidden="1">
      <c r="A239" s="1781" t="s">
        <v>225</v>
      </c>
      <c r="B239" s="1781" t="s">
        <v>226</v>
      </c>
      <c r="C239" s="371"/>
      <c r="D239" s="2487"/>
      <c r="E239" s="2227"/>
      <c r="F239" s="2402" t="str">
        <f>INDEX(PT_DIFFERENTIATION_VTAR,MATCH(A239,PT_DIFFERENTIATION_VTAR_ID,0))</f>
        <v>Тариф на техническую воду</v>
      </c>
      <c r="G239" s="2452" t="str">
        <f>INDEX(PT_DIFFERENTIATION_NTAR,MATCH(B239,PT_DIFFERENTIATION_NTAR_ID,0))</f>
        <v/>
      </c>
      <c r="H239" s="1861"/>
      <c r="I239" s="1740"/>
      <c r="J239" s="1774"/>
      <c r="K239" s="1779"/>
      <c r="L239" s="1861" t="s">
        <v>301</v>
      </c>
      <c r="M239" s="343"/>
      <c r="N239" s="336"/>
      <c r="O239" s="1626"/>
      <c r="P239" s="1626"/>
      <c r="AH239" s="1633">
        <v>0</v>
      </c>
    </row>
    <row s="1637" customFormat="1" customHeight="1" ht="18.75" hidden="1">
      <c r="A240" s="1781"/>
      <c r="B240" s="1781"/>
      <c r="C240" s="371" t="s">
        <v>1200</v>
      </c>
      <c r="D240" s="2487"/>
      <c r="E240" s="2227"/>
      <c r="F240" s="2402"/>
      <c r="G240" s="2452"/>
      <c r="H240" s="1502"/>
      <c r="I240" s="653" t="s">
        <v>1199</v>
      </c>
      <c r="J240" s="573"/>
      <c r="K240" s="1502"/>
      <c r="L240" s="216"/>
      <c r="M240" s="343"/>
      <c r="N240" s="336"/>
      <c r="O240" s="1626"/>
      <c r="P240" s="1626"/>
      <c r="AH240" s="1633">
        <v>0</v>
      </c>
    </row>
    <row s="1637" customFormat="1" customHeight="1" ht="0.75" hidden="1">
      <c r="A241" s="1781"/>
      <c r="B241" s="1781"/>
      <c r="C241" s="371" t="s">
        <v>1207</v>
      </c>
      <c r="D241" s="2487"/>
      <c r="E241" s="2227"/>
      <c r="F241" s="2402"/>
      <c r="G241" s="402"/>
      <c r="H241" s="1502"/>
      <c r="I241" s="653"/>
      <c r="J241" s="573"/>
      <c r="K241" s="1502"/>
      <c r="L241" s="216"/>
      <c r="M241" s="343"/>
      <c r="N241" s="336"/>
      <c r="O241" s="1626"/>
      <c r="P241" s="1626"/>
      <c r="AH241" s="1633">
        <v>0</v>
      </c>
    </row>
    <row s="1637" customFormat="1" customHeight="1" ht="18.75" hidden="1">
      <c r="A242" s="1781" t="s">
        <v>230</v>
      </c>
      <c r="B242" s="1781" t="s">
        <v>231</v>
      </c>
      <c r="C242" s="371"/>
      <c r="D242" s="2487"/>
      <c r="E242" s="2227"/>
      <c r="F242" s="2402" t="str">
        <f>INDEX(PT_DIFFERENTIATION_VTAR,MATCH(A242,PT_DIFFERENTIATION_VTAR_ID,0))</f>
        <v>Тариф на транспортировку воды</v>
      </c>
      <c r="G242" s="2452" t="str">
        <f>INDEX(PT_DIFFERENTIATION_NTAR,MATCH(B242,PT_DIFFERENTIATION_NTAR_ID,0))</f>
        <v/>
      </c>
      <c r="H242" s="1861"/>
      <c r="I242" s="1740"/>
      <c r="J242" s="1774"/>
      <c r="K242" s="1779"/>
      <c r="L242" s="1861" t="s">
        <v>301</v>
      </c>
      <c r="M242" s="343"/>
      <c r="N242" s="336"/>
      <c r="O242" s="1626"/>
      <c r="P242" s="1626"/>
      <c r="AH242" s="1633">
        <v>0</v>
      </c>
    </row>
    <row s="1637" customFormat="1" customHeight="1" ht="18.75" hidden="1">
      <c r="A243" s="1781"/>
      <c r="B243" s="1781"/>
      <c r="C243" s="371" t="s">
        <v>1200</v>
      </c>
      <c r="D243" s="2487"/>
      <c r="E243" s="2227"/>
      <c r="F243" s="2402"/>
      <c r="G243" s="2452"/>
      <c r="H243" s="1502"/>
      <c r="I243" s="653" t="s">
        <v>1199</v>
      </c>
      <c r="J243" s="573"/>
      <c r="K243" s="1502"/>
      <c r="L243" s="216"/>
      <c r="M243" s="343"/>
      <c r="N243" s="336"/>
      <c r="O243" s="1626"/>
      <c r="P243" s="1626"/>
      <c r="AH243" s="1633">
        <v>0</v>
      </c>
    </row>
    <row s="1637" customFormat="1" customHeight="1" ht="0.75" hidden="1">
      <c r="A244" s="1781"/>
      <c r="B244" s="1781"/>
      <c r="C244" s="371" t="s">
        <v>1207</v>
      </c>
      <c r="D244" s="2487"/>
      <c r="E244" s="2227"/>
      <c r="F244" s="2402"/>
      <c r="G244" s="402"/>
      <c r="H244" s="1502"/>
      <c r="I244" s="653"/>
      <c r="J244" s="573"/>
      <c r="K244" s="1502"/>
      <c r="L244" s="216"/>
      <c r="M244" s="343"/>
      <c r="N244" s="336"/>
      <c r="O244" s="1626"/>
      <c r="P244" s="1626"/>
      <c r="AH244" s="1633">
        <v>0</v>
      </c>
    </row>
    <row s="1637" customFormat="1" customHeight="1" ht="18.75" hidden="1">
      <c r="A245" s="1781" t="s">
        <v>235</v>
      </c>
      <c r="B245" s="1781" t="s">
        <v>236</v>
      </c>
      <c r="C245" s="371"/>
      <c r="D245" s="2487"/>
      <c r="E245" s="2227"/>
      <c r="F245" s="2402" t="str">
        <f>INDEX(PT_DIFFERENTIATION_VTAR,MATCH(A245,PT_DIFFERENTIATION_VTAR_ID,0))</f>
        <v>Тариф на подвоз воды</v>
      </c>
      <c r="G245" s="2452" t="str">
        <f>INDEX(PT_DIFFERENTIATION_NTAR,MATCH(B245,PT_DIFFERENTIATION_NTAR_ID,0))</f>
        <v/>
      </c>
      <c r="H245" s="1861"/>
      <c r="I245" s="1740"/>
      <c r="J245" s="1774"/>
      <c r="K245" s="1779"/>
      <c r="L245" s="1861" t="s">
        <v>301</v>
      </c>
      <c r="M245" s="343"/>
      <c r="N245" s="336"/>
      <c r="O245" s="1626"/>
      <c r="P245" s="1626"/>
      <c r="AH245" s="1633">
        <v>0</v>
      </c>
    </row>
    <row s="1637" customFormat="1" customHeight="1" ht="18.75" hidden="1">
      <c r="A246" s="1781"/>
      <c r="B246" s="1781"/>
      <c r="C246" s="371" t="s">
        <v>1200</v>
      </c>
      <c r="D246" s="2487"/>
      <c r="E246" s="2227"/>
      <c r="F246" s="2402"/>
      <c r="G246" s="2452"/>
      <c r="H246" s="1502"/>
      <c r="I246" s="653" t="s">
        <v>1199</v>
      </c>
      <c r="J246" s="573"/>
      <c r="K246" s="1502"/>
      <c r="L246" s="216"/>
      <c r="M246" s="343"/>
      <c r="N246" s="336"/>
      <c r="O246" s="1626"/>
      <c r="P246" s="1626"/>
      <c r="AH246" s="1633">
        <v>0</v>
      </c>
    </row>
    <row s="1637" customFormat="1" customHeight="1" ht="0.75" hidden="1">
      <c r="A247" s="1781"/>
      <c r="B247" s="1781"/>
      <c r="C247" s="371" t="s">
        <v>1207</v>
      </c>
      <c r="D247" s="2487"/>
      <c r="E247" s="2227"/>
      <c r="F247" s="2402"/>
      <c r="G247" s="402"/>
      <c r="H247" s="1502"/>
      <c r="I247" s="653"/>
      <c r="J247" s="573"/>
      <c r="K247" s="1502"/>
      <c r="L247" s="216"/>
      <c r="M247" s="343"/>
      <c r="N247" s="336"/>
      <c r="O247" s="1626"/>
      <c r="P247" s="1626"/>
      <c r="AH247" s="1633">
        <v>0</v>
      </c>
    </row>
    <row s="1637" customFormat="1" customHeight="1" ht="18.75" hidden="1">
      <c r="A248" s="1781" t="s">
        <v>240</v>
      </c>
      <c r="B248" s="1781" t="s">
        <v>241</v>
      </c>
      <c r="C248" s="371"/>
      <c r="D248" s="2487"/>
      <c r="E248" s="2227"/>
      <c r="F248" s="240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52" t="str">
        <f>INDEX(PT_DIFFERENTIATION_NTAR,MATCH(B248,PT_DIFFERENTIATION_NTAR_ID,0))</f>
        <v/>
      </c>
      <c r="H248" s="1861"/>
      <c r="I248" s="1740"/>
      <c r="J248" s="1774"/>
      <c r="K248" s="1779"/>
      <c r="L248" s="1861" t="s">
        <v>301</v>
      </c>
      <c r="M248" s="343"/>
      <c r="N248" s="336"/>
      <c r="O248" s="1626"/>
      <c r="P248" s="1626"/>
      <c r="AH248" s="1633">
        <v>0</v>
      </c>
    </row>
    <row s="1637" customFormat="1" customHeight="1" ht="18.75" hidden="1">
      <c r="A249" s="1781"/>
      <c r="B249" s="1781"/>
      <c r="C249" s="371" t="s">
        <v>1200</v>
      </c>
      <c r="D249" s="2487"/>
      <c r="E249" s="2227"/>
      <c r="F249" s="2402"/>
      <c r="G249" s="2452"/>
      <c r="H249" s="1502"/>
      <c r="I249" s="653" t="s">
        <v>1199</v>
      </c>
      <c r="J249" s="573"/>
      <c r="K249" s="1502"/>
      <c r="L249" s="216"/>
      <c r="M249" s="343"/>
      <c r="N249" s="336"/>
      <c r="O249" s="1626"/>
      <c r="P249" s="1626"/>
      <c r="AH249" s="1633">
        <v>0</v>
      </c>
    </row>
    <row s="1637" customFormat="1" customHeight="1" ht="0.75" hidden="1">
      <c r="A250" s="1781"/>
      <c r="B250" s="1781"/>
      <c r="C250" s="371" t="s">
        <v>1207</v>
      </c>
      <c r="D250" s="2487"/>
      <c r="E250" s="2227"/>
      <c r="F250" s="2402"/>
      <c r="G250" s="402"/>
      <c r="H250" s="1502"/>
      <c r="I250" s="653"/>
      <c r="J250" s="573"/>
      <c r="K250" s="1502"/>
      <c r="L250" s="216"/>
      <c r="M250" s="343"/>
      <c r="N250" s="336"/>
      <c r="O250" s="1626"/>
      <c r="P250" s="1626"/>
      <c r="AH250" s="1633">
        <v>0</v>
      </c>
    </row>
    <row s="1637" customFormat="1" customHeight="1" ht="18.75" hidden="1">
      <c r="A251" s="1781" t="s">
        <v>245</v>
      </c>
      <c r="B251" s="1781" t="s">
        <v>246</v>
      </c>
      <c r="C251" s="371"/>
      <c r="D251" s="2487"/>
      <c r="E251" s="2227"/>
      <c r="F251" s="2402" t="str">
        <f>INDEX(PT_DIFFERENTIATION_VTAR,MATCH(A251,PT_DIFFERENTIATION_VTAR_ID,0))</f>
        <v>Тариф на горячую воду (горячее водоснабжение)</v>
      </c>
      <c r="G251" s="2452" t="str">
        <f>INDEX(PT_DIFFERENTIATION_NTAR,MATCH(B251,PT_DIFFERENTIATION_NTAR_ID,0))</f>
        <v/>
      </c>
      <c r="H251" s="1861"/>
      <c r="I251" s="1740"/>
      <c r="J251" s="1774"/>
      <c r="K251" s="1779"/>
      <c r="L251" s="1861" t="s">
        <v>301</v>
      </c>
      <c r="M251" s="343"/>
      <c r="N251" s="336"/>
      <c r="O251" s="1626"/>
      <c r="P251" s="1626"/>
      <c r="AH251" s="1633">
        <v>0</v>
      </c>
    </row>
    <row s="1637" customFormat="1" customHeight="1" ht="18.75" hidden="1">
      <c r="A252" s="1781"/>
      <c r="B252" s="1781"/>
      <c r="C252" s="371" t="s">
        <v>1200</v>
      </c>
      <c r="D252" s="2487"/>
      <c r="E252" s="2227"/>
      <c r="F252" s="2402"/>
      <c r="G252" s="2452"/>
      <c r="H252" s="1502"/>
      <c r="I252" s="653" t="s">
        <v>1199</v>
      </c>
      <c r="J252" s="573"/>
      <c r="K252" s="1502"/>
      <c r="L252" s="216"/>
      <c r="M252" s="343"/>
      <c r="N252" s="336"/>
      <c r="O252" s="1626"/>
      <c r="P252" s="1626"/>
      <c r="AH252" s="1633">
        <v>0</v>
      </c>
    </row>
    <row s="1637" customFormat="1" customHeight="1" ht="0.75" hidden="1">
      <c r="A253" s="1781"/>
      <c r="B253" s="1781"/>
      <c r="C253" s="371" t="s">
        <v>1207</v>
      </c>
      <c r="D253" s="2487"/>
      <c r="E253" s="2227"/>
      <c r="F253" s="2402"/>
      <c r="G253" s="402"/>
      <c r="H253" s="1502"/>
      <c r="I253" s="653"/>
      <c r="J253" s="573"/>
      <c r="K253" s="1502"/>
      <c r="L253" s="216"/>
      <c r="M253" s="343"/>
      <c r="N253" s="336"/>
      <c r="O253" s="1626"/>
      <c r="P253" s="1626"/>
      <c r="AH253" s="1633">
        <v>0</v>
      </c>
    </row>
    <row s="1637" customFormat="1" customHeight="1" ht="18.75" hidden="1">
      <c r="A254" s="1781" t="s">
        <v>250</v>
      </c>
      <c r="B254" s="1781" t="s">
        <v>251</v>
      </c>
      <c r="C254" s="371"/>
      <c r="D254" s="2487"/>
      <c r="E254" s="2227"/>
      <c r="F254" s="2402" t="str">
        <f>INDEX(PT_DIFFERENTIATION_VTAR,MATCH(A254,PT_DIFFERENTIATION_VTAR_ID,0))</f>
        <v>Тариф на транспортировку горячей воды</v>
      </c>
      <c r="G254" s="2452" t="str">
        <f>INDEX(PT_DIFFERENTIATION_NTAR,MATCH(B254,PT_DIFFERENTIATION_NTAR_ID,0))</f>
        <v/>
      </c>
      <c r="H254" s="1861"/>
      <c r="I254" s="1740"/>
      <c r="J254" s="1774"/>
      <c r="K254" s="1779"/>
      <c r="L254" s="1861" t="s">
        <v>301</v>
      </c>
      <c r="M254" s="343"/>
      <c r="N254" s="336"/>
      <c r="O254" s="1626"/>
      <c r="P254" s="1626"/>
      <c r="AH254" s="1633">
        <v>0</v>
      </c>
    </row>
    <row s="1637" customFormat="1" customHeight="1" ht="18.75" hidden="1">
      <c r="A255" s="1781"/>
      <c r="B255" s="1781"/>
      <c r="C255" s="371" t="s">
        <v>1200</v>
      </c>
      <c r="D255" s="2487"/>
      <c r="E255" s="2227"/>
      <c r="F255" s="2402"/>
      <c r="G255" s="2452"/>
      <c r="H255" s="1502"/>
      <c r="I255" s="653" t="s">
        <v>1199</v>
      </c>
      <c r="J255" s="573"/>
      <c r="K255" s="1502"/>
      <c r="L255" s="216"/>
      <c r="M255" s="343"/>
      <c r="N255" s="336"/>
      <c r="O255" s="1626"/>
      <c r="P255" s="1626"/>
      <c r="AH255" s="1633">
        <v>0</v>
      </c>
    </row>
    <row s="1637" customFormat="1" customHeight="1" ht="0.75" hidden="1">
      <c r="A256" s="1781"/>
      <c r="B256" s="1781"/>
      <c r="C256" s="371" t="s">
        <v>1207</v>
      </c>
      <c r="D256" s="2487"/>
      <c r="E256" s="2227"/>
      <c r="F256" s="2402"/>
      <c r="G256" s="402"/>
      <c r="H256" s="1502"/>
      <c r="I256" s="653"/>
      <c r="J256" s="573"/>
      <c r="K256" s="1502"/>
      <c r="L256" s="216"/>
      <c r="M256" s="343"/>
      <c r="N256" s="336"/>
      <c r="O256" s="1626"/>
      <c r="P256" s="1626"/>
      <c r="AH256" s="1633">
        <v>0</v>
      </c>
    </row>
    <row s="1637" customFormat="1" customHeight="1" ht="18.75" hidden="1">
      <c r="A257" s="1781" t="s">
        <v>255</v>
      </c>
      <c r="B257" s="1781" t="s">
        <v>256</v>
      </c>
      <c r="C257" s="371"/>
      <c r="D257" s="2487"/>
      <c r="E257" s="2227"/>
      <c r="F257" s="240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52" t="str">
        <f>INDEX(PT_DIFFERENTIATION_NTAR,MATCH(B257,PT_DIFFERENTIATION_NTAR_ID,0))</f>
        <v/>
      </c>
      <c r="H257" s="1861"/>
      <c r="I257" s="1740"/>
      <c r="J257" s="1774"/>
      <c r="K257" s="1779"/>
      <c r="L257" s="1861" t="s">
        <v>301</v>
      </c>
      <c r="M257" s="343"/>
      <c r="N257" s="336"/>
      <c r="O257" s="1626"/>
      <c r="P257" s="1626"/>
      <c r="AH257" s="1633">
        <v>0</v>
      </c>
    </row>
    <row s="1637" customFormat="1" customHeight="1" ht="18.75" hidden="1">
      <c r="A258" s="1781"/>
      <c r="B258" s="1781"/>
      <c r="C258" s="371" t="s">
        <v>1200</v>
      </c>
      <c r="D258" s="2487"/>
      <c r="E258" s="2227"/>
      <c r="F258" s="2402"/>
      <c r="G258" s="2452"/>
      <c r="H258" s="1502"/>
      <c r="I258" s="653" t="s">
        <v>1199</v>
      </c>
      <c r="J258" s="573"/>
      <c r="K258" s="1502"/>
      <c r="L258" s="216"/>
      <c r="M258" s="343"/>
      <c r="N258" s="336"/>
      <c r="O258" s="1626"/>
      <c r="P258" s="1626"/>
      <c r="AH258" s="1633">
        <v>0</v>
      </c>
    </row>
    <row s="1637" customFormat="1" customHeight="1" ht="0.75" hidden="1">
      <c r="A259" s="1781"/>
      <c r="B259" s="1781"/>
      <c r="C259" s="371" t="s">
        <v>1207</v>
      </c>
      <c r="D259" s="2487"/>
      <c r="E259" s="2227"/>
      <c r="F259" s="2402"/>
      <c r="G259" s="402"/>
      <c r="H259" s="1502"/>
      <c r="I259" s="653"/>
      <c r="J259" s="573"/>
      <c r="K259" s="1502"/>
      <c r="L259" s="216"/>
      <c r="M259" s="343"/>
      <c r="N259" s="336"/>
      <c r="O259" s="1626"/>
      <c r="P259" s="1626"/>
      <c r="AH259" s="1633">
        <v>0</v>
      </c>
    </row>
    <row s="1637" customFormat="1" customHeight="1" ht="18.75" hidden="1">
      <c r="A260" s="1781" t="s">
        <v>260</v>
      </c>
      <c r="B260" s="1781" t="s">
        <v>261</v>
      </c>
      <c r="C260" s="371"/>
      <c r="D260" s="2487"/>
      <c r="E260" s="2227"/>
      <c r="F260" s="2402" t="str">
        <f>INDEX(PT_DIFFERENTIATION_VTAR,MATCH(A260,PT_DIFFERENTIATION_VTAR_ID,0))</f>
        <v>Тариф на водоотведение</v>
      </c>
      <c r="G260" s="2452" t="str">
        <f>INDEX(PT_DIFFERENTIATION_NTAR,MATCH(B260,PT_DIFFERENTIATION_NTAR_ID,0))</f>
        <v/>
      </c>
      <c r="H260" s="1861"/>
      <c r="I260" s="1740"/>
      <c r="J260" s="1774"/>
      <c r="K260" s="1779"/>
      <c r="L260" s="1861" t="s">
        <v>301</v>
      </c>
      <c r="M260" s="343"/>
      <c r="N260" s="336"/>
      <c r="O260" s="1626"/>
      <c r="P260" s="1626"/>
      <c r="AH260" s="1633">
        <v>0</v>
      </c>
    </row>
    <row s="1637" customFormat="1" customHeight="1" ht="18.75" hidden="1">
      <c r="A261" s="1781"/>
      <c r="B261" s="1781"/>
      <c r="C261" s="371" t="s">
        <v>1200</v>
      </c>
      <c r="D261" s="2487"/>
      <c r="E261" s="2227"/>
      <c r="F261" s="2402"/>
      <c r="G261" s="2452"/>
      <c r="H261" s="1502"/>
      <c r="I261" s="653" t="s">
        <v>1199</v>
      </c>
      <c r="J261" s="573"/>
      <c r="K261" s="1502"/>
      <c r="L261" s="216"/>
      <c r="M261" s="343"/>
      <c r="N261" s="336"/>
      <c r="O261" s="1626"/>
      <c r="P261" s="1626"/>
      <c r="AH261" s="1633">
        <v>0</v>
      </c>
    </row>
    <row s="1637" customFormat="1" customHeight="1" ht="0.75" hidden="1">
      <c r="A262" s="1781"/>
      <c r="B262" s="1781"/>
      <c r="C262" s="371" t="s">
        <v>1207</v>
      </c>
      <c r="D262" s="2487"/>
      <c r="E262" s="2227"/>
      <c r="F262" s="2402"/>
      <c r="G262" s="402"/>
      <c r="H262" s="1502"/>
      <c r="I262" s="653"/>
      <c r="J262" s="573"/>
      <c r="K262" s="1502"/>
      <c r="L262" s="216"/>
      <c r="M262" s="343"/>
      <c r="N262" s="336"/>
      <c r="O262" s="1626"/>
      <c r="P262" s="1626"/>
      <c r="AH262" s="1633">
        <v>0</v>
      </c>
    </row>
    <row s="1637" customFormat="1" customHeight="1" ht="18.75" hidden="1">
      <c r="A263" s="1781" t="s">
        <v>265</v>
      </c>
      <c r="B263" s="1781" t="s">
        <v>266</v>
      </c>
      <c r="C263" s="371"/>
      <c r="D263" s="2487"/>
      <c r="E263" s="2227"/>
      <c r="F263" s="2402" t="str">
        <f>INDEX(PT_DIFFERENTIATION_VTAR,MATCH(A263,PT_DIFFERENTIATION_VTAR_ID,0))</f>
        <v>Тариф на транспортировку сточных вод</v>
      </c>
      <c r="G263" s="2452" t="str">
        <f>INDEX(PT_DIFFERENTIATION_NTAR,MATCH(B263,PT_DIFFERENTIATION_NTAR_ID,0))</f>
        <v/>
      </c>
      <c r="H263" s="1861"/>
      <c r="I263" s="1740"/>
      <c r="J263" s="1774"/>
      <c r="K263" s="1779"/>
      <c r="L263" s="1861" t="s">
        <v>301</v>
      </c>
      <c r="M263" s="343"/>
      <c r="N263" s="336"/>
      <c r="O263" s="1626"/>
      <c r="P263" s="1626"/>
      <c r="AH263" s="1633">
        <v>0</v>
      </c>
    </row>
    <row s="1637" customFormat="1" customHeight="1" ht="18.75" hidden="1">
      <c r="A264" s="1781"/>
      <c r="B264" s="1781"/>
      <c r="C264" s="371" t="s">
        <v>1200</v>
      </c>
      <c r="D264" s="2487"/>
      <c r="E264" s="2227"/>
      <c r="F264" s="2402"/>
      <c r="G264" s="2452"/>
      <c r="H264" s="1502"/>
      <c r="I264" s="653" t="s">
        <v>1199</v>
      </c>
      <c r="J264" s="573"/>
      <c r="K264" s="1502"/>
      <c r="L264" s="216"/>
      <c r="M264" s="343"/>
      <c r="N264" s="336"/>
      <c r="O264" s="1626"/>
      <c r="P264" s="1626"/>
      <c r="AH264" s="1633">
        <v>0</v>
      </c>
    </row>
    <row s="1637" customFormat="1" customHeight="1" ht="0.75" hidden="1">
      <c r="A265" s="1781"/>
      <c r="B265" s="1781"/>
      <c r="C265" s="371" t="s">
        <v>1207</v>
      </c>
      <c r="D265" s="2487"/>
      <c r="E265" s="2227"/>
      <c r="F265" s="2402"/>
      <c r="G265" s="402"/>
      <c r="H265" s="1502"/>
      <c r="I265" s="653"/>
      <c r="J265" s="573"/>
      <c r="K265" s="1502"/>
      <c r="L265" s="216"/>
      <c r="M265" s="343"/>
      <c r="N265" s="336"/>
      <c r="O265" s="1626"/>
      <c r="P265" s="1626"/>
      <c r="AH265" s="1633">
        <v>0</v>
      </c>
    </row>
    <row s="1637" customFormat="1" customHeight="1" ht="18.75" hidden="1">
      <c r="A266" s="1781" t="s">
        <v>270</v>
      </c>
      <c r="B266" s="1781" t="s">
        <v>271</v>
      </c>
      <c r="C266" s="371"/>
      <c r="D266" s="2487"/>
      <c r="E266" s="2227"/>
      <c r="F266" s="2402" t="str">
        <f>INDEX(PT_DIFFERENTIATION_VTAR,MATCH(A266,PT_DIFFERENTIATION_VTAR_ID,0))</f>
        <v>Тариф на подключение (технологическое присоединение) к централизованной системе водоотведения</v>
      </c>
      <c r="G266" s="2452" t="str">
        <f>INDEX(PT_DIFFERENTIATION_NTAR,MATCH(B266,PT_DIFFERENTIATION_NTAR_ID,0))</f>
        <v/>
      </c>
      <c r="H266" s="1861"/>
      <c r="I266" s="1740"/>
      <c r="J266" s="1774"/>
      <c r="K266" s="1779"/>
      <c r="L266" s="1861" t="s">
        <v>301</v>
      </c>
      <c r="M266" s="343"/>
      <c r="N266" s="336"/>
      <c r="O266" s="1626"/>
      <c r="P266" s="1626"/>
      <c r="AH266" s="1633">
        <v>0</v>
      </c>
    </row>
    <row s="1637" customFormat="1" customHeight="1" ht="18.75" hidden="1">
      <c r="A267" s="1781"/>
      <c r="B267" s="1781"/>
      <c r="C267" s="371" t="s">
        <v>1200</v>
      </c>
      <c r="D267" s="2487"/>
      <c r="E267" s="2227"/>
      <c r="F267" s="2402"/>
      <c r="G267" s="2452"/>
      <c r="H267" s="1502"/>
      <c r="I267" s="653" t="s">
        <v>1199</v>
      </c>
      <c r="J267" s="573"/>
      <c r="K267" s="1502"/>
      <c r="L267" s="216"/>
      <c r="M267" s="343"/>
      <c r="N267" s="336"/>
      <c r="O267" s="1626"/>
      <c r="P267" s="1626"/>
      <c r="AH267" s="1633">
        <v>0</v>
      </c>
    </row>
    <row s="1637" customFormat="1" customHeight="1" ht="1.05">
      <c r="A268" s="1781"/>
      <c r="B268" s="1781"/>
      <c r="C268" s="371" t="s">
        <v>1207</v>
      </c>
      <c r="D268" s="2487"/>
      <c r="E268" s="2227"/>
      <c r="F268" s="2402"/>
      <c r="G268" s="402"/>
      <c r="H268" s="1502"/>
      <c r="I268" s="653"/>
      <c r="J268" s="573"/>
      <c r="K268" s="1502"/>
      <c r="L268" s="216"/>
      <c r="M268" s="343"/>
      <c r="N268" s="336"/>
      <c r="O268" s="1626"/>
      <c r="P268" s="1626"/>
      <c r="AH268" s="1633">
        <v>1</v>
      </c>
    </row>
    <row customHeight="1" ht="27.299999999999997">
      <c r="A269" s="1781"/>
      <c r="B269" s="1781"/>
      <c r="D269" s="378"/>
      <c r="E269" s="149" t="s">
        <v>92</v>
      </c>
      <c r="F269" s="248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5"/>
      <c r="H269" s="2485"/>
      <c r="I269" s="2485"/>
      <c r="J269" s="2485"/>
      <c r="K269" s="2485"/>
      <c r="L269" s="2485"/>
      <c r="M269" s="299"/>
      <c r="N269" s="336"/>
      <c r="AH269" s="376">
        <v>26</v>
      </c>
    </row>
    <row s="1637" customFormat="1" customHeight="1" ht="60.75" hidden="1">
      <c r="A270" s="1781" t="s">
        <v>152</v>
      </c>
      <c r="B270" s="1781" t="s">
        <v>153</v>
      </c>
      <c r="C270" s="371"/>
      <c r="D270" s="2487"/>
      <c r="E270" s="2227"/>
      <c r="F270" s="240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52" t="str">
        <f>INDEX(PT_DIFFERENTIATION_NTAR,MATCH(B270,PT_DIFFERENTIATION_NTAR_ID,0))</f>
        <v/>
      </c>
      <c r="H270" s="1861"/>
      <c r="I270" s="1740"/>
      <c r="J270" s="1774"/>
      <c r="K270" s="1779"/>
      <c r="L270" s="1861" t="s">
        <v>301</v>
      </c>
      <c r="M270" s="218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1"/>
      <c r="B271" s="1781"/>
      <c r="C271" s="371" t="s">
        <v>1200</v>
      </c>
      <c r="D271" s="2487"/>
      <c r="E271" s="2227"/>
      <c r="F271" s="2402"/>
      <c r="G271" s="2452"/>
      <c r="H271" s="1502"/>
      <c r="I271" s="653" t="s">
        <v>1199</v>
      </c>
      <c r="J271" s="573"/>
      <c r="K271" s="1502"/>
      <c r="L271" s="216"/>
      <c r="M271" s="2185"/>
      <c r="N271" s="336"/>
      <c r="O271" s="1626"/>
      <c r="P271" s="1626"/>
      <c r="AH271" s="1633">
        <v>0</v>
      </c>
    </row>
    <row s="1637" customFormat="1" customHeight="1" ht="0.75" hidden="1">
      <c r="A272" s="1781"/>
      <c r="B272" s="1781"/>
      <c r="C272" s="371" t="s">
        <v>1207</v>
      </c>
      <c r="D272" s="2487"/>
      <c r="E272" s="2227"/>
      <c r="F272" s="2402"/>
      <c r="G272" s="402"/>
      <c r="H272" s="1502"/>
      <c r="I272" s="653"/>
      <c r="J272" s="573"/>
      <c r="K272" s="1502"/>
      <c r="L272" s="216"/>
      <c r="M272" s="2185"/>
      <c r="N272" s="336"/>
      <c r="O272" s="1626"/>
      <c r="P272" s="1626"/>
      <c r="AH272" s="1633">
        <v>0</v>
      </c>
    </row>
    <row s="1637" customFormat="1" customHeight="1" ht="45" hidden="1">
      <c r="A273" s="1781" t="s">
        <v>157</v>
      </c>
      <c r="B273" s="1781" t="s">
        <v>158</v>
      </c>
      <c r="C273" s="371"/>
      <c r="D273" s="2487"/>
      <c r="E273" s="2227"/>
      <c r="F273" s="2402" t="str">
        <f>INDEX(PT_DIFFERENTIATION_VTAR,MATCH(A273,PT_DIFFERENTIATION_VTAR_ID,0))</f>
        <v/>
      </c>
      <c r="G273" s="2452" t="str">
        <f>INDEX(PT_DIFFERENTIATION_NTAR,MATCH(B273,PT_DIFFERENTIATION_NTAR_ID,0))</f>
        <v/>
      </c>
      <c r="H273" s="1861"/>
      <c r="I273" s="1740"/>
      <c r="J273" s="1774"/>
      <c r="K273" s="1779"/>
      <c r="L273" s="1861" t="s">
        <v>301</v>
      </c>
      <c r="M273" s="2186"/>
      <c r="N273" s="336"/>
      <c r="O273" s="1626"/>
      <c r="P273" s="1626"/>
      <c r="AH273" s="1633">
        <v>0</v>
      </c>
    </row>
    <row s="1637" customFormat="1" customHeight="1" ht="18.75" hidden="1">
      <c r="A274" s="1781"/>
      <c r="B274" s="1781"/>
      <c r="C274" s="371" t="s">
        <v>1200</v>
      </c>
      <c r="D274" s="2487"/>
      <c r="E274" s="2227"/>
      <c r="F274" s="2402"/>
      <c r="G274" s="2452"/>
      <c r="H274" s="1502"/>
      <c r="I274" s="653" t="s">
        <v>1199</v>
      </c>
      <c r="J274" s="573"/>
      <c r="K274" s="1502"/>
      <c r="L274" s="216"/>
      <c r="M274" s="1860"/>
      <c r="N274" s="336"/>
      <c r="O274" s="1626"/>
      <c r="P274" s="1626"/>
      <c r="AH274" s="1633">
        <v>0</v>
      </c>
    </row>
    <row s="1637" customFormat="1" customHeight="1" ht="0.75" hidden="1">
      <c r="A275" s="1781"/>
      <c r="B275" s="1781"/>
      <c r="C275" s="371" t="s">
        <v>1207</v>
      </c>
      <c r="D275" s="2487"/>
      <c r="E275" s="2227"/>
      <c r="F275" s="2402"/>
      <c r="G275" s="402"/>
      <c r="H275" s="1502"/>
      <c r="I275" s="653"/>
      <c r="J275" s="573"/>
      <c r="K275" s="1502"/>
      <c r="L275" s="216"/>
      <c r="M275" s="343"/>
      <c r="N275" s="336"/>
      <c r="O275" s="1626"/>
      <c r="P275" s="1626"/>
      <c r="AH275" s="1633">
        <v>0</v>
      </c>
    </row>
    <row s="1637" customFormat="1" customHeight="1" ht="45" hidden="1">
      <c r="A276" s="1781" t="s">
        <v>164</v>
      </c>
      <c r="B276" s="1781" t="s">
        <v>165</v>
      </c>
      <c r="C276" s="371"/>
      <c r="D276" s="2487"/>
      <c r="E276" s="2227"/>
      <c r="F276" s="240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52" t="str">
        <f>INDEX(PT_DIFFERENTIATION_NTAR,MATCH(B276,PT_DIFFERENTIATION_NTAR_ID,0))</f>
        <v/>
      </c>
      <c r="H276" s="1861"/>
      <c r="I276" s="1740"/>
      <c r="J276" s="1774"/>
      <c r="K276" s="1779"/>
      <c r="L276" s="1861" t="s">
        <v>301</v>
      </c>
      <c r="M276" s="343"/>
      <c r="N276" s="336"/>
      <c r="O276" s="1626"/>
      <c r="P276" s="1626"/>
      <c r="AH276" s="1633">
        <v>0</v>
      </c>
    </row>
    <row s="1637" customFormat="1" customHeight="1" ht="18.75" hidden="1">
      <c r="A277" s="1781"/>
      <c r="B277" s="1781"/>
      <c r="C277" s="371" t="s">
        <v>1200</v>
      </c>
      <c r="D277" s="2487"/>
      <c r="E277" s="2227"/>
      <c r="F277" s="2402"/>
      <c r="G277" s="2452"/>
      <c r="H277" s="1502"/>
      <c r="I277" s="653" t="s">
        <v>1199</v>
      </c>
      <c r="J277" s="573"/>
      <c r="K277" s="1502"/>
      <c r="L277" s="216"/>
      <c r="M277" s="343"/>
      <c r="N277" s="336"/>
      <c r="O277" s="1626"/>
      <c r="P277" s="1626"/>
      <c r="AH277" s="1633">
        <v>0</v>
      </c>
    </row>
    <row s="1637" customFormat="1" customHeight="1" ht="0.75" hidden="1">
      <c r="A278" s="1781"/>
      <c r="B278" s="1781"/>
      <c r="C278" s="371" t="s">
        <v>1207</v>
      </c>
      <c r="D278" s="2487"/>
      <c r="E278" s="2227"/>
      <c r="F278" s="2402"/>
      <c r="G278" s="402"/>
      <c r="H278" s="1502"/>
      <c r="I278" s="653"/>
      <c r="J278" s="573"/>
      <c r="K278" s="1502"/>
      <c r="L278" s="216"/>
      <c r="M278" s="343"/>
      <c r="N278" s="336"/>
      <c r="O278" s="1626"/>
      <c r="P278" s="1626"/>
      <c r="AH278" s="1633">
        <v>0</v>
      </c>
    </row>
    <row s="1637" customFormat="1" customHeight="1" ht="45" hidden="1">
      <c r="A279" s="1781" t="s">
        <v>170</v>
      </c>
      <c r="B279" s="1781" t="s">
        <v>171</v>
      </c>
      <c r="C279" s="371"/>
      <c r="D279" s="2487"/>
      <c r="E279" s="2227"/>
      <c r="F279" s="240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52" t="str">
        <f>INDEX(PT_DIFFERENTIATION_NTAR,MATCH(B279,PT_DIFFERENTIATION_NTAR_ID,0))</f>
        <v/>
      </c>
      <c r="H279" s="1861"/>
      <c r="I279" s="1740"/>
      <c r="J279" s="1774"/>
      <c r="K279" s="1779"/>
      <c r="L279" s="1861" t="s">
        <v>301</v>
      </c>
      <c r="M279" s="343"/>
      <c r="N279" s="336"/>
      <c r="O279" s="1626"/>
      <c r="P279" s="1626"/>
      <c r="AH279" s="1633">
        <v>0</v>
      </c>
    </row>
    <row s="1637" customFormat="1" customHeight="1" ht="18.75" hidden="1">
      <c r="A280" s="1781"/>
      <c r="B280" s="1781"/>
      <c r="C280" s="371" t="s">
        <v>1200</v>
      </c>
      <c r="D280" s="2487"/>
      <c r="E280" s="2227"/>
      <c r="F280" s="2402"/>
      <c r="G280" s="2452"/>
      <c r="H280" s="1502"/>
      <c r="I280" s="653" t="s">
        <v>1199</v>
      </c>
      <c r="J280" s="573"/>
      <c r="K280" s="1502"/>
      <c r="L280" s="216"/>
      <c r="M280" s="343"/>
      <c r="N280" s="336"/>
      <c r="O280" s="1626"/>
      <c r="P280" s="1626"/>
      <c r="AH280" s="1633">
        <v>0</v>
      </c>
    </row>
    <row s="1637" customFormat="1" customHeight="1" ht="0.75" hidden="1">
      <c r="A281" s="1781"/>
      <c r="B281" s="1781"/>
      <c r="C281" s="371" t="s">
        <v>1207</v>
      </c>
      <c r="D281" s="2487"/>
      <c r="E281" s="2227"/>
      <c r="F281" s="2402"/>
      <c r="G281" s="402"/>
      <c r="H281" s="1502"/>
      <c r="I281" s="653"/>
      <c r="J281" s="573"/>
      <c r="K281" s="1502"/>
      <c r="L281" s="216"/>
      <c r="M281" s="343"/>
      <c r="N281" s="336"/>
      <c r="O281" s="1626"/>
      <c r="P281" s="1626"/>
      <c r="AH281" s="1633">
        <v>0</v>
      </c>
    </row>
    <row s="1637" customFormat="1" customHeight="1" ht="18.75" hidden="1">
      <c r="A282" s="1781" t="s">
        <v>176</v>
      </c>
      <c r="B282" s="1781" t="s">
        <v>177</v>
      </c>
      <c r="C282" s="371"/>
      <c r="D282" s="2487"/>
      <c r="E282" s="2227"/>
      <c r="F282" s="2402" t="str">
        <f>INDEX(PT_DIFFERENTIATION_VTAR,MATCH(A282,PT_DIFFERENTIATION_VTAR_ID,0))</f>
        <v>Тарифы на услуги по передаче тепловой энергии</v>
      </c>
      <c r="G282" s="2452" t="str">
        <f>INDEX(PT_DIFFERENTIATION_NTAR,MATCH(B282,PT_DIFFERENTIATION_NTAR_ID,0))</f>
        <v/>
      </c>
      <c r="H282" s="1861"/>
      <c r="I282" s="1740"/>
      <c r="J282" s="1774"/>
      <c r="K282" s="1779"/>
      <c r="L282" s="1861" t="s">
        <v>301</v>
      </c>
      <c r="M282" s="343"/>
      <c r="N282" s="336"/>
      <c r="O282" s="1626"/>
      <c r="P282" s="1626"/>
      <c r="AH282" s="1633">
        <v>0</v>
      </c>
    </row>
    <row s="1637" customFormat="1" customHeight="1" ht="18.75" hidden="1">
      <c r="A283" s="1781"/>
      <c r="B283" s="1781"/>
      <c r="C283" s="371" t="s">
        <v>1200</v>
      </c>
      <c r="D283" s="2487"/>
      <c r="E283" s="2227"/>
      <c r="F283" s="2402"/>
      <c r="G283" s="2452"/>
      <c r="H283" s="1502"/>
      <c r="I283" s="653" t="s">
        <v>1199</v>
      </c>
      <c r="J283" s="573"/>
      <c r="K283" s="1502"/>
      <c r="L283" s="216"/>
      <c r="M283" s="343"/>
      <c r="N283" s="336"/>
      <c r="O283" s="1626"/>
      <c r="P283" s="1626"/>
      <c r="AH283" s="1633">
        <v>0</v>
      </c>
    </row>
    <row s="1637" customFormat="1" customHeight="1" ht="0.75" hidden="1">
      <c r="A284" s="1781"/>
      <c r="B284" s="1781"/>
      <c r="C284" s="371" t="s">
        <v>1207</v>
      </c>
      <c r="D284" s="2487"/>
      <c r="E284" s="2227"/>
      <c r="F284" s="2402"/>
      <c r="G284" s="402"/>
      <c r="H284" s="1502"/>
      <c r="I284" s="653"/>
      <c r="J284" s="573"/>
      <c r="K284" s="1502"/>
      <c r="L284" s="216"/>
      <c r="M284" s="343"/>
      <c r="N284" s="336"/>
      <c r="O284" s="1626"/>
      <c r="P284" s="1626"/>
      <c r="AH284" s="1633">
        <v>0</v>
      </c>
    </row>
    <row s="1637" customFormat="1" customHeight="1" ht="18.75" hidden="1">
      <c r="A285" s="1781" t="s">
        <v>182</v>
      </c>
      <c r="B285" s="1781" t="s">
        <v>183</v>
      </c>
      <c r="C285" s="371"/>
      <c r="D285" s="2487"/>
      <c r="E285" s="2227"/>
      <c r="F285" s="2402" t="str">
        <f>INDEX(PT_DIFFERENTIATION_VTAR,MATCH(A285,PT_DIFFERENTIATION_VTAR_ID,0))</f>
        <v>Тарифы на услуги по передаче теплоносителя</v>
      </c>
      <c r="G285" s="2452" t="str">
        <f>INDEX(PT_DIFFERENTIATION_NTAR,MATCH(B285,PT_DIFFERENTIATION_NTAR_ID,0))</f>
        <v/>
      </c>
      <c r="H285" s="1861"/>
      <c r="I285" s="1740"/>
      <c r="J285" s="1774"/>
      <c r="K285" s="1779"/>
      <c r="L285" s="1861" t="s">
        <v>301</v>
      </c>
      <c r="M285" s="343"/>
      <c r="N285" s="336"/>
      <c r="O285" s="1626"/>
      <c r="P285" s="1626"/>
      <c r="AH285" s="1633">
        <v>0</v>
      </c>
    </row>
    <row s="1637" customFormat="1" customHeight="1" ht="18.75" hidden="1">
      <c r="A286" s="1781"/>
      <c r="B286" s="1781"/>
      <c r="C286" s="371" t="s">
        <v>1200</v>
      </c>
      <c r="D286" s="2487"/>
      <c r="E286" s="2227"/>
      <c r="F286" s="2402"/>
      <c r="G286" s="2452"/>
      <c r="H286" s="1502"/>
      <c r="I286" s="653" t="s">
        <v>1199</v>
      </c>
      <c r="J286" s="573"/>
      <c r="K286" s="1502"/>
      <c r="L286" s="216"/>
      <c r="M286" s="343"/>
      <c r="N286" s="336"/>
      <c r="O286" s="1626"/>
      <c r="P286" s="1626"/>
      <c r="AH286" s="1633">
        <v>0</v>
      </c>
    </row>
    <row s="1637" customFormat="1" customHeight="1" ht="0.75" hidden="1">
      <c r="A287" s="1781"/>
      <c r="B287" s="1781"/>
      <c r="C287" s="371" t="s">
        <v>1207</v>
      </c>
      <c r="D287" s="2487"/>
      <c r="E287" s="2227"/>
      <c r="F287" s="2402"/>
      <c r="G287" s="402"/>
      <c r="H287" s="1502"/>
      <c r="I287" s="653"/>
      <c r="J287" s="573"/>
      <c r="K287" s="1502"/>
      <c r="L287" s="216"/>
      <c r="M287" s="343"/>
      <c r="N287" s="336"/>
      <c r="O287" s="1626"/>
      <c r="P287" s="1626"/>
      <c r="AH287" s="1633">
        <v>0</v>
      </c>
    </row>
    <row s="1637" customFormat="1" customHeight="1" ht="18.75" hidden="1">
      <c r="A288" s="1781" t="s">
        <v>188</v>
      </c>
      <c r="B288" s="1781" t="s">
        <v>189</v>
      </c>
      <c r="C288" s="371"/>
      <c r="D288" s="2487"/>
      <c r="E288" s="2227"/>
      <c r="F288" s="240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52" t="str">
        <f>INDEX(PT_DIFFERENTIATION_NTAR,MATCH(B288,PT_DIFFERENTIATION_NTAR_ID,0))</f>
        <v/>
      </c>
      <c r="H288" s="1861"/>
      <c r="I288" s="1740"/>
      <c r="J288" s="1774"/>
      <c r="K288" s="1779"/>
      <c r="L288" s="1861" t="s">
        <v>301</v>
      </c>
      <c r="M288" s="343"/>
      <c r="N288" s="336"/>
      <c r="O288" s="1626"/>
      <c r="P288" s="1626"/>
      <c r="AH288" s="1633">
        <v>0</v>
      </c>
    </row>
    <row s="1637" customFormat="1" customHeight="1" ht="18.75" hidden="1">
      <c r="A289" s="1781"/>
      <c r="B289" s="1781"/>
      <c r="C289" s="371" t="s">
        <v>1200</v>
      </c>
      <c r="D289" s="2487"/>
      <c r="E289" s="2227"/>
      <c r="F289" s="2402"/>
      <c r="G289" s="2452"/>
      <c r="H289" s="1502"/>
      <c r="I289" s="653" t="s">
        <v>1199</v>
      </c>
      <c r="J289" s="573"/>
      <c r="K289" s="1502"/>
      <c r="L289" s="216"/>
      <c r="M289" s="343"/>
      <c r="N289" s="336"/>
      <c r="O289" s="1626"/>
      <c r="P289" s="1626"/>
      <c r="AH289" s="1633">
        <v>0</v>
      </c>
    </row>
    <row s="1637" customFormat="1" customHeight="1" ht="0.75" hidden="1">
      <c r="A290" s="1781"/>
      <c r="B290" s="1781"/>
      <c r="C290" s="371" t="s">
        <v>1207</v>
      </c>
      <c r="D290" s="2487"/>
      <c r="E290" s="2227"/>
      <c r="F290" s="2402"/>
      <c r="G290" s="402"/>
      <c r="H290" s="1502"/>
      <c r="I290" s="653"/>
      <c r="J290" s="573"/>
      <c r="K290" s="1502"/>
      <c r="L290" s="216"/>
      <c r="M290" s="343"/>
      <c r="N290" s="336"/>
      <c r="O290" s="1626"/>
      <c r="P290" s="1626"/>
      <c r="AH290" s="1633">
        <v>0</v>
      </c>
    </row>
    <row s="1637" customFormat="1" customHeight="1" ht="18.75" hidden="1">
      <c r="A291" s="1781" t="s">
        <v>194</v>
      </c>
      <c r="B291" s="1781" t="s">
        <v>195</v>
      </c>
      <c r="C291" s="371"/>
      <c r="D291" s="2487"/>
      <c r="E291" s="2227"/>
      <c r="F291" s="2402" t="str">
        <f>INDEX(PT_DIFFERENTIATION_VTAR,MATCH(A291,PT_DIFFERENTIATION_VTAR_ID,0))</f>
        <v>Плата за подключение (технологическое присоединение) к системе теплоснабжения</v>
      </c>
      <c r="G291" s="2452" t="str">
        <f>INDEX(PT_DIFFERENTIATION_NTAR,MATCH(B291,PT_DIFFERENTIATION_NTAR_ID,0))</f>
        <v/>
      </c>
      <c r="H291" s="1861"/>
      <c r="I291" s="1740"/>
      <c r="J291" s="1774"/>
      <c r="K291" s="1779"/>
      <c r="L291" s="1861" t="s">
        <v>301</v>
      </c>
      <c r="M291" s="343"/>
      <c r="N291" s="336"/>
      <c r="O291" s="1626"/>
      <c r="P291" s="1626"/>
      <c r="AH291" s="1633">
        <v>0</v>
      </c>
    </row>
    <row s="1637" customFormat="1" customHeight="1" ht="18.75" hidden="1">
      <c r="A292" s="1781"/>
      <c r="B292" s="1781"/>
      <c r="C292" s="371" t="s">
        <v>1200</v>
      </c>
      <c r="D292" s="2487"/>
      <c r="E292" s="2227"/>
      <c r="F292" s="2402"/>
      <c r="G292" s="2452"/>
      <c r="H292" s="1502"/>
      <c r="I292" s="653" t="s">
        <v>1199</v>
      </c>
      <c r="J292" s="573"/>
      <c r="K292" s="1502"/>
      <c r="L292" s="216"/>
      <c r="M292" s="343"/>
      <c r="N292" s="336"/>
      <c r="O292" s="1626"/>
      <c r="P292" s="1626"/>
      <c r="AH292" s="1633">
        <v>0</v>
      </c>
    </row>
    <row s="1637" customFormat="1" customHeight="1" ht="0.75" hidden="1">
      <c r="A293" s="1781"/>
      <c r="B293" s="1781"/>
      <c r="C293" s="371" t="s">
        <v>1207</v>
      </c>
      <c r="D293" s="2487"/>
      <c r="E293" s="2227"/>
      <c r="F293" s="2402"/>
      <c r="G293" s="402"/>
      <c r="H293" s="1502"/>
      <c r="I293" s="653"/>
      <c r="J293" s="573"/>
      <c r="K293" s="1502"/>
      <c r="L293" s="216"/>
      <c r="M293" s="343"/>
      <c r="N293" s="336"/>
      <c r="O293" s="1626"/>
      <c r="P293" s="1626"/>
      <c r="AH293" s="1633">
        <v>0</v>
      </c>
    </row>
    <row s="1637" customFormat="1" customHeight="1" ht="18.75" hidden="1">
      <c r="A294" s="1781" t="s">
        <v>200</v>
      </c>
      <c r="B294" s="1781" t="s">
        <v>201</v>
      </c>
      <c r="C294" s="371"/>
      <c r="D294" s="2487"/>
      <c r="E294" s="2227"/>
      <c r="F294" s="2402" t="str">
        <f>INDEX(PT_DIFFERENTIATION_VTAR,MATCH(A294,PT_DIFFERENTIATION_VTAR_ID,0))</f>
        <v>Плата за подключение (технологическое присоединение) к системе теплоснабжения (индивидуальная)</v>
      </c>
      <c r="G294" s="2452" t="str">
        <f>INDEX(PT_DIFFERENTIATION_NTAR,MATCH(B294,PT_DIFFERENTIATION_NTAR_ID,0))</f>
        <v/>
      </c>
      <c r="H294" s="1988"/>
      <c r="I294" s="1740"/>
      <c r="J294" s="1774"/>
      <c r="K294" s="1779"/>
      <c r="L294" s="1988" t="s">
        <v>301</v>
      </c>
      <c r="M294" s="343"/>
      <c r="N294" s="336"/>
      <c r="O294" s="1626"/>
      <c r="P294" s="1626"/>
      <c r="AH294" s="1633">
        <v>0</v>
      </c>
    </row>
    <row s="1637" customFormat="1" customHeight="1" ht="18.75" hidden="1">
      <c r="A295" s="1781"/>
      <c r="B295" s="1781"/>
      <c r="C295" s="371" t="s">
        <v>1200</v>
      </c>
      <c r="D295" s="2487"/>
      <c r="E295" s="2227"/>
      <c r="F295" s="2402"/>
      <c r="G295" s="2452"/>
      <c r="H295" s="1502"/>
      <c r="I295" s="653" t="s">
        <v>1199</v>
      </c>
      <c r="J295" s="573"/>
      <c r="K295" s="1502"/>
      <c r="L295" s="216"/>
      <c r="M295" s="343"/>
      <c r="N295" s="336"/>
      <c r="O295" s="1626"/>
      <c r="P295" s="1626"/>
      <c r="AH295" s="1633">
        <v>0</v>
      </c>
    </row>
    <row s="1637" customFormat="1" customHeight="1" ht="0.75" hidden="1">
      <c r="A296" s="1781"/>
      <c r="B296" s="1781"/>
      <c r="C296" s="371" t="s">
        <v>1207</v>
      </c>
      <c r="D296" s="2487"/>
      <c r="E296" s="2227"/>
      <c r="F296" s="2402"/>
      <c r="G296" s="402"/>
      <c r="H296" s="1502"/>
      <c r="I296" s="653"/>
      <c r="J296" s="573"/>
      <c r="K296" s="1502"/>
      <c r="L296" s="216"/>
      <c r="M296" s="343"/>
      <c r="N296" s="336"/>
      <c r="O296" s="1626"/>
      <c r="P296" s="1626"/>
      <c r="AH296" s="1633">
        <v>0</v>
      </c>
    </row>
    <row s="1637" customFormat="1" customHeight="1" ht="18.75" hidden="1">
      <c r="A297" s="1781" t="s">
        <v>220</v>
      </c>
      <c r="B297" s="1781" t="s">
        <v>221</v>
      </c>
      <c r="C297" s="371"/>
      <c r="D297" s="2487"/>
      <c r="E297" s="2227"/>
      <c r="F297" s="2402" t="str">
        <f>INDEX(PT_DIFFERENTIATION_VTAR,MATCH(A297,PT_DIFFERENTIATION_VTAR_ID,0))</f>
        <v>Тариф на питьевую воду (питьевое водоснабжение)</v>
      </c>
      <c r="G297" s="2452" t="str">
        <f>INDEX(PT_DIFFERENTIATION_NTAR,MATCH(B297,PT_DIFFERENTIATION_NTAR_ID,0))</f>
        <v/>
      </c>
      <c r="H297" s="1861"/>
      <c r="I297" s="1740"/>
      <c r="J297" s="1774"/>
      <c r="K297" s="1779"/>
      <c r="L297" s="1861" t="s">
        <v>301</v>
      </c>
      <c r="M297" s="343"/>
      <c r="N297" s="336"/>
      <c r="O297" s="1626"/>
      <c r="P297" s="1626"/>
      <c r="AH297" s="1633">
        <v>0</v>
      </c>
    </row>
    <row s="1637" customFormat="1" customHeight="1" ht="18.75" hidden="1">
      <c r="A298" s="1781"/>
      <c r="B298" s="1781"/>
      <c r="C298" s="371" t="s">
        <v>1200</v>
      </c>
      <c r="D298" s="2487"/>
      <c r="E298" s="2227"/>
      <c r="F298" s="2402"/>
      <c r="G298" s="2452"/>
      <c r="H298" s="1502"/>
      <c r="I298" s="653" t="s">
        <v>1199</v>
      </c>
      <c r="J298" s="573"/>
      <c r="K298" s="1502"/>
      <c r="L298" s="216"/>
      <c r="M298" s="343"/>
      <c r="N298" s="336"/>
      <c r="O298" s="1626"/>
      <c r="P298" s="1626"/>
      <c r="AH298" s="1633">
        <v>0</v>
      </c>
    </row>
    <row s="1637" customFormat="1" customHeight="1" ht="0.75" hidden="1">
      <c r="A299" s="1781"/>
      <c r="B299" s="1781"/>
      <c r="C299" s="371" t="s">
        <v>1207</v>
      </c>
      <c r="D299" s="2487"/>
      <c r="E299" s="2227"/>
      <c r="F299" s="2402"/>
      <c r="G299" s="402"/>
      <c r="H299" s="1502"/>
      <c r="I299" s="653"/>
      <c r="J299" s="573"/>
      <c r="K299" s="1502"/>
      <c r="L299" s="216"/>
      <c r="M299" s="343"/>
      <c r="N299" s="336"/>
      <c r="O299" s="1626"/>
      <c r="P299" s="1626"/>
      <c r="AH299" s="1633">
        <v>0</v>
      </c>
    </row>
    <row s="1637" customFormat="1" customHeight="1" ht="18.75" hidden="1">
      <c r="A300" s="1781" t="s">
        <v>225</v>
      </c>
      <c r="B300" s="1781" t="s">
        <v>226</v>
      </c>
      <c r="C300" s="371"/>
      <c r="D300" s="2487"/>
      <c r="E300" s="2227"/>
      <c r="F300" s="2402" t="str">
        <f>INDEX(PT_DIFFERENTIATION_VTAR,MATCH(A300,PT_DIFFERENTIATION_VTAR_ID,0))</f>
        <v>Тариф на техническую воду</v>
      </c>
      <c r="G300" s="2452" t="str">
        <f>INDEX(PT_DIFFERENTIATION_NTAR,MATCH(B300,PT_DIFFERENTIATION_NTAR_ID,0))</f>
        <v/>
      </c>
      <c r="H300" s="1861"/>
      <c r="I300" s="1740"/>
      <c r="J300" s="1774"/>
      <c r="K300" s="1779"/>
      <c r="L300" s="1861" t="s">
        <v>301</v>
      </c>
      <c r="M300" s="343"/>
      <c r="N300" s="336"/>
      <c r="O300" s="1626"/>
      <c r="P300" s="1626"/>
      <c r="AH300" s="1633">
        <v>0</v>
      </c>
    </row>
    <row s="1637" customFormat="1" customHeight="1" ht="18.75" hidden="1">
      <c r="A301" s="1781"/>
      <c r="B301" s="1781"/>
      <c r="C301" s="371" t="s">
        <v>1200</v>
      </c>
      <c r="D301" s="2487"/>
      <c r="E301" s="2227"/>
      <c r="F301" s="2402"/>
      <c r="G301" s="2452"/>
      <c r="H301" s="1502"/>
      <c r="I301" s="653" t="s">
        <v>1199</v>
      </c>
      <c r="J301" s="573"/>
      <c r="K301" s="1502"/>
      <c r="L301" s="216"/>
      <c r="M301" s="343"/>
      <c r="N301" s="336"/>
      <c r="O301" s="1626"/>
      <c r="P301" s="1626"/>
      <c r="AH301" s="1633">
        <v>0</v>
      </c>
    </row>
    <row s="1637" customFormat="1" customHeight="1" ht="0.75" hidden="1">
      <c r="A302" s="1781"/>
      <c r="B302" s="1781"/>
      <c r="C302" s="371" t="s">
        <v>1207</v>
      </c>
      <c r="D302" s="2487"/>
      <c r="E302" s="2227"/>
      <c r="F302" s="2402"/>
      <c r="G302" s="402"/>
      <c r="H302" s="1502"/>
      <c r="I302" s="653"/>
      <c r="J302" s="573"/>
      <c r="K302" s="1502"/>
      <c r="L302" s="216"/>
      <c r="M302" s="343"/>
      <c r="N302" s="336"/>
      <c r="O302" s="1626"/>
      <c r="P302" s="1626"/>
      <c r="AH302" s="1633">
        <v>0</v>
      </c>
    </row>
    <row s="1637" customFormat="1" customHeight="1" ht="18.75" hidden="1">
      <c r="A303" s="1781" t="s">
        <v>230</v>
      </c>
      <c r="B303" s="1781" t="s">
        <v>231</v>
      </c>
      <c r="C303" s="371"/>
      <c r="D303" s="2487"/>
      <c r="E303" s="2227"/>
      <c r="F303" s="2402" t="str">
        <f>INDEX(PT_DIFFERENTIATION_VTAR,MATCH(A303,PT_DIFFERENTIATION_VTAR_ID,0))</f>
        <v>Тариф на транспортировку воды</v>
      </c>
      <c r="G303" s="2452" t="str">
        <f>INDEX(PT_DIFFERENTIATION_NTAR,MATCH(B303,PT_DIFFERENTIATION_NTAR_ID,0))</f>
        <v/>
      </c>
      <c r="H303" s="1861"/>
      <c r="I303" s="1740"/>
      <c r="J303" s="1774"/>
      <c r="K303" s="1779"/>
      <c r="L303" s="1861" t="s">
        <v>301</v>
      </c>
      <c r="M303" s="343"/>
      <c r="N303" s="336"/>
      <c r="O303" s="1626"/>
      <c r="P303" s="1626"/>
      <c r="AH303" s="1633">
        <v>0</v>
      </c>
    </row>
    <row s="1637" customFormat="1" customHeight="1" ht="18.75" hidden="1">
      <c r="A304" s="1781"/>
      <c r="B304" s="1781"/>
      <c r="C304" s="371" t="s">
        <v>1200</v>
      </c>
      <c r="D304" s="2487"/>
      <c r="E304" s="2227"/>
      <c r="F304" s="2402"/>
      <c r="G304" s="2452"/>
      <c r="H304" s="1502"/>
      <c r="I304" s="653" t="s">
        <v>1199</v>
      </c>
      <c r="J304" s="573"/>
      <c r="K304" s="1502"/>
      <c r="L304" s="216"/>
      <c r="M304" s="343"/>
      <c r="N304" s="336"/>
      <c r="O304" s="1626"/>
      <c r="P304" s="1626"/>
      <c r="AH304" s="1633">
        <v>0</v>
      </c>
    </row>
    <row s="1637" customFormat="1" customHeight="1" ht="0.75" hidden="1">
      <c r="A305" s="1781"/>
      <c r="B305" s="1781"/>
      <c r="C305" s="371" t="s">
        <v>1207</v>
      </c>
      <c r="D305" s="2487"/>
      <c r="E305" s="2227"/>
      <c r="F305" s="2402"/>
      <c r="G305" s="402"/>
      <c r="H305" s="1502"/>
      <c r="I305" s="653"/>
      <c r="J305" s="573"/>
      <c r="K305" s="1502"/>
      <c r="L305" s="216"/>
      <c r="M305" s="343"/>
      <c r="N305" s="336"/>
      <c r="O305" s="1626"/>
      <c r="P305" s="1626"/>
      <c r="AH305" s="1633">
        <v>0</v>
      </c>
    </row>
    <row s="1637" customFormat="1" customHeight="1" ht="18.75" hidden="1">
      <c r="A306" s="1781" t="s">
        <v>235</v>
      </c>
      <c r="B306" s="1781" t="s">
        <v>236</v>
      </c>
      <c r="C306" s="371"/>
      <c r="D306" s="2487"/>
      <c r="E306" s="2227"/>
      <c r="F306" s="2402" t="str">
        <f>INDEX(PT_DIFFERENTIATION_VTAR,MATCH(A306,PT_DIFFERENTIATION_VTAR_ID,0))</f>
        <v>Тариф на подвоз воды</v>
      </c>
      <c r="G306" s="2452" t="str">
        <f>INDEX(PT_DIFFERENTIATION_NTAR,MATCH(B306,PT_DIFFERENTIATION_NTAR_ID,0))</f>
        <v/>
      </c>
      <c r="H306" s="1861"/>
      <c r="I306" s="1740"/>
      <c r="J306" s="1774"/>
      <c r="K306" s="1779"/>
      <c r="L306" s="1861" t="s">
        <v>301</v>
      </c>
      <c r="M306" s="343"/>
      <c r="N306" s="336"/>
      <c r="O306" s="1626"/>
      <c r="P306" s="1626"/>
      <c r="AH306" s="1633">
        <v>0</v>
      </c>
    </row>
    <row s="1637" customFormat="1" customHeight="1" ht="18.75" hidden="1">
      <c r="A307" s="1781"/>
      <c r="B307" s="1781"/>
      <c r="C307" s="371" t="s">
        <v>1200</v>
      </c>
      <c r="D307" s="2487"/>
      <c r="E307" s="2227"/>
      <c r="F307" s="2402"/>
      <c r="G307" s="2452"/>
      <c r="H307" s="1502"/>
      <c r="I307" s="653" t="s">
        <v>1199</v>
      </c>
      <c r="J307" s="573"/>
      <c r="K307" s="1502"/>
      <c r="L307" s="216"/>
      <c r="M307" s="343"/>
      <c r="N307" s="336"/>
      <c r="O307" s="1626"/>
      <c r="P307" s="1626"/>
      <c r="AH307" s="1633">
        <v>0</v>
      </c>
    </row>
    <row s="1637" customFormat="1" customHeight="1" ht="0.75" hidden="1">
      <c r="A308" s="1781"/>
      <c r="B308" s="1781"/>
      <c r="C308" s="371" t="s">
        <v>1207</v>
      </c>
      <c r="D308" s="2487"/>
      <c r="E308" s="2227"/>
      <c r="F308" s="2402"/>
      <c r="G308" s="402"/>
      <c r="H308" s="1502"/>
      <c r="I308" s="653"/>
      <c r="J308" s="573"/>
      <c r="K308" s="1502"/>
      <c r="L308" s="216"/>
      <c r="M308" s="343"/>
      <c r="N308" s="336"/>
      <c r="O308" s="1626"/>
      <c r="P308" s="1626"/>
      <c r="AH308" s="1633">
        <v>0</v>
      </c>
    </row>
    <row s="1637" customFormat="1" customHeight="1" ht="18.75" hidden="1">
      <c r="A309" s="1781" t="s">
        <v>240</v>
      </c>
      <c r="B309" s="1781" t="s">
        <v>241</v>
      </c>
      <c r="C309" s="371"/>
      <c r="D309" s="2487"/>
      <c r="E309" s="2227"/>
      <c r="F309" s="240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52" t="str">
        <f>INDEX(PT_DIFFERENTIATION_NTAR,MATCH(B309,PT_DIFFERENTIATION_NTAR_ID,0))</f>
        <v/>
      </c>
      <c r="H309" s="1861"/>
      <c r="I309" s="1740"/>
      <c r="J309" s="1774"/>
      <c r="K309" s="1779"/>
      <c r="L309" s="1861" t="s">
        <v>301</v>
      </c>
      <c r="M309" s="343"/>
      <c r="N309" s="336"/>
      <c r="O309" s="1626"/>
      <c r="P309" s="1626"/>
      <c r="AH309" s="1633">
        <v>0</v>
      </c>
    </row>
    <row s="1637" customFormat="1" customHeight="1" ht="18.75" hidden="1">
      <c r="A310" s="1781"/>
      <c r="B310" s="1781"/>
      <c r="C310" s="371" t="s">
        <v>1200</v>
      </c>
      <c r="D310" s="2487"/>
      <c r="E310" s="2227"/>
      <c r="F310" s="2402"/>
      <c r="G310" s="2452"/>
      <c r="H310" s="1502"/>
      <c r="I310" s="653" t="s">
        <v>1199</v>
      </c>
      <c r="J310" s="573"/>
      <c r="K310" s="1502"/>
      <c r="L310" s="216"/>
      <c r="M310" s="343"/>
      <c r="N310" s="336"/>
      <c r="O310" s="1626"/>
      <c r="P310" s="1626"/>
      <c r="AH310" s="1633">
        <v>0</v>
      </c>
    </row>
    <row s="1637" customFormat="1" customHeight="1" ht="0.75" hidden="1">
      <c r="A311" s="1781"/>
      <c r="B311" s="1781"/>
      <c r="C311" s="371" t="s">
        <v>1207</v>
      </c>
      <c r="D311" s="2487"/>
      <c r="E311" s="2227"/>
      <c r="F311" s="2402"/>
      <c r="G311" s="402"/>
      <c r="H311" s="1502"/>
      <c r="I311" s="653"/>
      <c r="J311" s="573"/>
      <c r="K311" s="1502"/>
      <c r="L311" s="216"/>
      <c r="M311" s="343"/>
      <c r="N311" s="336"/>
      <c r="O311" s="1626"/>
      <c r="P311" s="1626"/>
      <c r="AH311" s="1633">
        <v>0</v>
      </c>
    </row>
    <row s="1637" customFormat="1" customHeight="1" ht="18.75" hidden="1">
      <c r="A312" s="1781" t="s">
        <v>245</v>
      </c>
      <c r="B312" s="1781" t="s">
        <v>246</v>
      </c>
      <c r="C312" s="371"/>
      <c r="D312" s="2487"/>
      <c r="E312" s="2227"/>
      <c r="F312" s="2402" t="str">
        <f>INDEX(PT_DIFFERENTIATION_VTAR,MATCH(A312,PT_DIFFERENTIATION_VTAR_ID,0))</f>
        <v>Тариф на горячую воду (горячее водоснабжение)</v>
      </c>
      <c r="G312" s="2452" t="str">
        <f>INDEX(PT_DIFFERENTIATION_NTAR,MATCH(B312,PT_DIFFERENTIATION_NTAR_ID,0))</f>
        <v/>
      </c>
      <c r="H312" s="1861"/>
      <c r="I312" s="1740"/>
      <c r="J312" s="1774"/>
      <c r="K312" s="1779"/>
      <c r="L312" s="1861" t="s">
        <v>301</v>
      </c>
      <c r="M312" s="343"/>
      <c r="N312" s="336"/>
      <c r="O312" s="1626"/>
      <c r="P312" s="1626"/>
      <c r="AH312" s="1633">
        <v>0</v>
      </c>
    </row>
    <row s="1637" customFormat="1" customHeight="1" ht="18.75" hidden="1">
      <c r="A313" s="1781"/>
      <c r="B313" s="1781"/>
      <c r="C313" s="371" t="s">
        <v>1200</v>
      </c>
      <c r="D313" s="2487"/>
      <c r="E313" s="2227"/>
      <c r="F313" s="2402"/>
      <c r="G313" s="2452"/>
      <c r="H313" s="1502"/>
      <c r="I313" s="653" t="s">
        <v>1199</v>
      </c>
      <c r="J313" s="573"/>
      <c r="K313" s="1502"/>
      <c r="L313" s="216"/>
      <c r="M313" s="343"/>
      <c r="N313" s="336"/>
      <c r="O313" s="1626"/>
      <c r="P313" s="1626"/>
      <c r="AH313" s="1633">
        <v>0</v>
      </c>
    </row>
    <row s="1637" customFormat="1" customHeight="1" ht="0.75" hidden="1">
      <c r="A314" s="1781"/>
      <c r="B314" s="1781"/>
      <c r="C314" s="371" t="s">
        <v>1207</v>
      </c>
      <c r="D314" s="2487"/>
      <c r="E314" s="2227"/>
      <c r="F314" s="2402"/>
      <c r="G314" s="402"/>
      <c r="H314" s="1502"/>
      <c r="I314" s="653"/>
      <c r="J314" s="573"/>
      <c r="K314" s="1502"/>
      <c r="L314" s="216"/>
      <c r="M314" s="343"/>
      <c r="N314" s="336"/>
      <c r="O314" s="1626"/>
      <c r="P314" s="1626"/>
      <c r="AH314" s="1633">
        <v>0</v>
      </c>
    </row>
    <row s="1637" customFormat="1" customHeight="1" ht="18.75" hidden="1">
      <c r="A315" s="1781" t="s">
        <v>250</v>
      </c>
      <c r="B315" s="1781" t="s">
        <v>251</v>
      </c>
      <c r="C315" s="371"/>
      <c r="D315" s="2487"/>
      <c r="E315" s="2227"/>
      <c r="F315" s="2402" t="str">
        <f>INDEX(PT_DIFFERENTIATION_VTAR,MATCH(A315,PT_DIFFERENTIATION_VTAR_ID,0))</f>
        <v>Тариф на транспортировку горячей воды</v>
      </c>
      <c r="G315" s="2452" t="str">
        <f>INDEX(PT_DIFFERENTIATION_NTAR,MATCH(B315,PT_DIFFERENTIATION_NTAR_ID,0))</f>
        <v/>
      </c>
      <c r="H315" s="1861"/>
      <c r="I315" s="1740"/>
      <c r="J315" s="1774"/>
      <c r="K315" s="1779"/>
      <c r="L315" s="1861" t="s">
        <v>301</v>
      </c>
      <c r="M315" s="343"/>
      <c r="N315" s="336"/>
      <c r="O315" s="1626"/>
      <c r="P315" s="1626"/>
      <c r="AH315" s="1633">
        <v>0</v>
      </c>
    </row>
    <row s="1637" customFormat="1" customHeight="1" ht="18.75" hidden="1">
      <c r="A316" s="1781"/>
      <c r="B316" s="1781"/>
      <c r="C316" s="371" t="s">
        <v>1200</v>
      </c>
      <c r="D316" s="2487"/>
      <c r="E316" s="2227"/>
      <c r="F316" s="2402"/>
      <c r="G316" s="2452"/>
      <c r="H316" s="1502"/>
      <c r="I316" s="653" t="s">
        <v>1199</v>
      </c>
      <c r="J316" s="573"/>
      <c r="K316" s="1502"/>
      <c r="L316" s="216"/>
      <c r="M316" s="343"/>
      <c r="N316" s="336"/>
      <c r="O316" s="1626"/>
      <c r="P316" s="1626"/>
      <c r="AH316" s="1633">
        <v>0</v>
      </c>
    </row>
    <row s="1637" customFormat="1" customHeight="1" ht="0.75" hidden="1">
      <c r="A317" s="1781"/>
      <c r="B317" s="1781"/>
      <c r="C317" s="371" t="s">
        <v>1207</v>
      </c>
      <c r="D317" s="2487"/>
      <c r="E317" s="2227"/>
      <c r="F317" s="2402"/>
      <c r="G317" s="402"/>
      <c r="H317" s="1502"/>
      <c r="I317" s="653"/>
      <c r="J317" s="573"/>
      <c r="K317" s="1502"/>
      <c r="L317" s="216"/>
      <c r="M317" s="343"/>
      <c r="N317" s="336"/>
      <c r="O317" s="1626"/>
      <c r="P317" s="1626"/>
      <c r="AH317" s="1633">
        <v>0</v>
      </c>
    </row>
    <row s="1637" customFormat="1" customHeight="1" ht="18.75" hidden="1">
      <c r="A318" s="1781" t="s">
        <v>255</v>
      </c>
      <c r="B318" s="1781" t="s">
        <v>256</v>
      </c>
      <c r="C318" s="371"/>
      <c r="D318" s="2487"/>
      <c r="E318" s="2227"/>
      <c r="F318" s="240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52" t="str">
        <f>INDEX(PT_DIFFERENTIATION_NTAR,MATCH(B318,PT_DIFFERENTIATION_NTAR_ID,0))</f>
        <v/>
      </c>
      <c r="H318" s="1861"/>
      <c r="I318" s="1740"/>
      <c r="J318" s="1774"/>
      <c r="K318" s="1779"/>
      <c r="L318" s="1861" t="s">
        <v>301</v>
      </c>
      <c r="M318" s="343"/>
      <c r="N318" s="336"/>
      <c r="O318" s="1626"/>
      <c r="P318" s="1626"/>
      <c r="AH318" s="1633">
        <v>0</v>
      </c>
    </row>
    <row s="1637" customFormat="1" customHeight="1" ht="18.75" hidden="1">
      <c r="A319" s="1781"/>
      <c r="B319" s="1781"/>
      <c r="C319" s="371" t="s">
        <v>1200</v>
      </c>
      <c r="D319" s="2487"/>
      <c r="E319" s="2227"/>
      <c r="F319" s="2402"/>
      <c r="G319" s="2452"/>
      <c r="H319" s="1502"/>
      <c r="I319" s="653" t="s">
        <v>1199</v>
      </c>
      <c r="J319" s="573"/>
      <c r="K319" s="1502"/>
      <c r="L319" s="216"/>
      <c r="M319" s="343"/>
      <c r="N319" s="336"/>
      <c r="O319" s="1626"/>
      <c r="P319" s="1626"/>
      <c r="AH319" s="1633">
        <v>0</v>
      </c>
    </row>
    <row s="1637" customFormat="1" customHeight="1" ht="0.75" hidden="1">
      <c r="A320" s="1781"/>
      <c r="B320" s="1781"/>
      <c r="C320" s="371" t="s">
        <v>1207</v>
      </c>
      <c r="D320" s="2487"/>
      <c r="E320" s="2227"/>
      <c r="F320" s="2402"/>
      <c r="G320" s="402"/>
      <c r="H320" s="1502"/>
      <c r="I320" s="653"/>
      <c r="J320" s="573"/>
      <c r="K320" s="1502"/>
      <c r="L320" s="216"/>
      <c r="M320" s="343"/>
      <c r="N320" s="336"/>
      <c r="O320" s="1626"/>
      <c r="P320" s="1626"/>
      <c r="AH320" s="1633">
        <v>0</v>
      </c>
    </row>
    <row s="1637" customFormat="1" customHeight="1" ht="18.75" hidden="1">
      <c r="A321" s="1781" t="s">
        <v>260</v>
      </c>
      <c r="B321" s="1781" t="s">
        <v>261</v>
      </c>
      <c r="C321" s="371"/>
      <c r="D321" s="2487"/>
      <c r="E321" s="2227"/>
      <c r="F321" s="2402" t="str">
        <f>INDEX(PT_DIFFERENTIATION_VTAR,MATCH(A321,PT_DIFFERENTIATION_VTAR_ID,0))</f>
        <v>Тариф на водоотведение</v>
      </c>
      <c r="G321" s="2452" t="str">
        <f>INDEX(PT_DIFFERENTIATION_NTAR,MATCH(B321,PT_DIFFERENTIATION_NTAR_ID,0))</f>
        <v/>
      </c>
      <c r="H321" s="1861"/>
      <c r="I321" s="1740"/>
      <c r="J321" s="1774"/>
      <c r="K321" s="1779"/>
      <c r="L321" s="1861" t="s">
        <v>301</v>
      </c>
      <c r="M321" s="343"/>
      <c r="N321" s="336"/>
      <c r="O321" s="1626"/>
      <c r="P321" s="1626"/>
      <c r="AH321" s="1633">
        <v>0</v>
      </c>
    </row>
    <row s="1637" customFormat="1" customHeight="1" ht="18.75" hidden="1">
      <c r="A322" s="1781"/>
      <c r="B322" s="1781"/>
      <c r="C322" s="371" t="s">
        <v>1200</v>
      </c>
      <c r="D322" s="2487"/>
      <c r="E322" s="2227"/>
      <c r="F322" s="2402"/>
      <c r="G322" s="2452"/>
      <c r="H322" s="1502"/>
      <c r="I322" s="653" t="s">
        <v>1199</v>
      </c>
      <c r="J322" s="573"/>
      <c r="K322" s="1502"/>
      <c r="L322" s="216"/>
      <c r="M322" s="343"/>
      <c r="N322" s="336"/>
      <c r="O322" s="1626"/>
      <c r="P322" s="1626"/>
      <c r="AH322" s="1633">
        <v>0</v>
      </c>
    </row>
    <row s="1637" customFormat="1" customHeight="1" ht="0.75" hidden="1">
      <c r="A323" s="1781"/>
      <c r="B323" s="1781"/>
      <c r="C323" s="371" t="s">
        <v>1207</v>
      </c>
      <c r="D323" s="2487"/>
      <c r="E323" s="2227"/>
      <c r="F323" s="2402"/>
      <c r="G323" s="402"/>
      <c r="H323" s="1502"/>
      <c r="I323" s="653"/>
      <c r="J323" s="573"/>
      <c r="K323" s="1502"/>
      <c r="L323" s="216"/>
      <c r="M323" s="343"/>
      <c r="N323" s="336"/>
      <c r="O323" s="1626"/>
      <c r="P323" s="1626"/>
      <c r="AH323" s="1633">
        <v>0</v>
      </c>
    </row>
    <row s="1637" customFormat="1" customHeight="1" ht="18.75" hidden="1">
      <c r="A324" s="1781" t="s">
        <v>265</v>
      </c>
      <c r="B324" s="1781" t="s">
        <v>266</v>
      </c>
      <c r="C324" s="371"/>
      <c r="D324" s="2487"/>
      <c r="E324" s="2227"/>
      <c r="F324" s="2402" t="str">
        <f>INDEX(PT_DIFFERENTIATION_VTAR,MATCH(A324,PT_DIFFERENTIATION_VTAR_ID,0))</f>
        <v>Тариф на транспортировку сточных вод</v>
      </c>
      <c r="G324" s="2452" t="str">
        <f>INDEX(PT_DIFFERENTIATION_NTAR,MATCH(B324,PT_DIFFERENTIATION_NTAR_ID,0))</f>
        <v/>
      </c>
      <c r="H324" s="1861"/>
      <c r="I324" s="1740"/>
      <c r="J324" s="1774"/>
      <c r="K324" s="1779"/>
      <c r="L324" s="1861" t="s">
        <v>301</v>
      </c>
      <c r="M324" s="343"/>
      <c r="N324" s="336"/>
      <c r="O324" s="1626"/>
      <c r="P324" s="1626"/>
      <c r="AH324" s="1633">
        <v>0</v>
      </c>
    </row>
    <row s="1637" customFormat="1" customHeight="1" ht="18.75" hidden="1">
      <c r="A325" s="1781"/>
      <c r="B325" s="1781"/>
      <c r="C325" s="371" t="s">
        <v>1200</v>
      </c>
      <c r="D325" s="2487"/>
      <c r="E325" s="2227"/>
      <c r="F325" s="2402"/>
      <c r="G325" s="2452"/>
      <c r="H325" s="1502"/>
      <c r="I325" s="653" t="s">
        <v>1199</v>
      </c>
      <c r="J325" s="573"/>
      <c r="K325" s="1502"/>
      <c r="L325" s="216"/>
      <c r="M325" s="343"/>
      <c r="N325" s="336"/>
      <c r="O325" s="1626"/>
      <c r="P325" s="1626"/>
      <c r="AH325" s="1633">
        <v>0</v>
      </c>
    </row>
    <row s="1637" customFormat="1" customHeight="1" ht="0.75" hidden="1">
      <c r="A326" s="1781"/>
      <c r="B326" s="1781"/>
      <c r="C326" s="371" t="s">
        <v>1207</v>
      </c>
      <c r="D326" s="2487"/>
      <c r="E326" s="2227"/>
      <c r="F326" s="2402"/>
      <c r="G326" s="402"/>
      <c r="H326" s="1502"/>
      <c r="I326" s="653"/>
      <c r="J326" s="573"/>
      <c r="K326" s="1502"/>
      <c r="L326" s="216"/>
      <c r="M326" s="343"/>
      <c r="N326" s="336"/>
      <c r="O326" s="1626"/>
      <c r="P326" s="1626"/>
      <c r="AH326" s="1633">
        <v>0</v>
      </c>
    </row>
    <row s="1637" customFormat="1" customHeight="1" ht="18.75" hidden="1">
      <c r="A327" s="1781" t="s">
        <v>270</v>
      </c>
      <c r="B327" s="1781" t="s">
        <v>271</v>
      </c>
      <c r="C327" s="371"/>
      <c r="D327" s="2487"/>
      <c r="E327" s="2227"/>
      <c r="F327" s="2402" t="str">
        <f>INDEX(PT_DIFFERENTIATION_VTAR,MATCH(A327,PT_DIFFERENTIATION_VTAR_ID,0))</f>
        <v>Тариф на подключение (технологическое присоединение) к централизованной системе водоотведения</v>
      </c>
      <c r="G327" s="2452" t="str">
        <f>INDEX(PT_DIFFERENTIATION_NTAR,MATCH(B327,PT_DIFFERENTIATION_NTAR_ID,0))</f>
        <v/>
      </c>
      <c r="H327" s="1861"/>
      <c r="I327" s="1740"/>
      <c r="J327" s="1774"/>
      <c r="K327" s="1779"/>
      <c r="L327" s="1861" t="s">
        <v>301</v>
      </c>
      <c r="M327" s="343"/>
      <c r="N327" s="336"/>
      <c r="O327" s="1626"/>
      <c r="P327" s="1626"/>
      <c r="AH327" s="1633">
        <v>0</v>
      </c>
    </row>
    <row s="1637" customFormat="1" customHeight="1" ht="18.75" hidden="1">
      <c r="A328" s="1781"/>
      <c r="B328" s="1781"/>
      <c r="C328" s="371" t="s">
        <v>1200</v>
      </c>
      <c r="D328" s="2487"/>
      <c r="E328" s="2227"/>
      <c r="F328" s="2402"/>
      <c r="G328" s="2452"/>
      <c r="H328" s="1502"/>
      <c r="I328" s="653" t="s">
        <v>1199</v>
      </c>
      <c r="J328" s="573"/>
      <c r="K328" s="1502"/>
      <c r="L328" s="216"/>
      <c r="M328" s="343"/>
      <c r="N328" s="336"/>
      <c r="O328" s="1626"/>
      <c r="P328" s="1626"/>
      <c r="AH328" s="1633">
        <v>0</v>
      </c>
    </row>
    <row s="1637" customFormat="1" customHeight="1" ht="1.05">
      <c r="A329" s="1781"/>
      <c r="B329" s="1781"/>
      <c r="C329" s="371" t="s">
        <v>1207</v>
      </c>
      <c r="D329" s="2487"/>
      <c r="E329" s="2227"/>
      <c r="F329" s="2402"/>
      <c r="G329" s="402"/>
      <c r="H329" s="1502"/>
      <c r="I329" s="653"/>
      <c r="J329" s="573"/>
      <c r="K329" s="1502"/>
      <c r="L329" s="216"/>
      <c r="M329" s="343"/>
      <c r="N329" s="336"/>
      <c r="O329" s="1626"/>
      <c r="P329" s="1626"/>
      <c r="AH329" s="1633">
        <v>1</v>
      </c>
    </row>
    <row s="1824" customFormat="1" customHeight="1" ht="3">
      <c r="A330" s="1781"/>
      <c r="B330" s="1781"/>
      <c r="C330" s="1782"/>
      <c r="E330" s="404"/>
      <c r="F330" s="404"/>
      <c r="G330" s="404"/>
      <c r="H330" s="404"/>
      <c r="I330" s="404"/>
      <c r="J330" s="404"/>
      <c r="K330" s="404"/>
      <c r="L330" s="404"/>
      <c r="M330" s="404"/>
      <c r="O330" s="198"/>
      <c r="P330" s="198"/>
      <c r="AH330" s="142">
        <v>3</v>
      </c>
    </row>
    <row customHeight="1" ht="26.25">
      <c r="E331" s="204"/>
      <c r="F331" s="2276"/>
      <c r="G331" s="2276"/>
      <c r="H331" s="2276"/>
      <c r="I331" s="2276"/>
      <c r="J331" s="2276"/>
      <c r="K331" s="2276"/>
      <c r="L331" s="2276"/>
      <c r="M331" s="2276"/>
      <c r="AH331" s="376">
        <v>25</v>
      </c>
    </row>
    <row customHeight="1" ht="14.25" hidden="1">
      <c r="A332" s="1780" t="s">
        <v>82</v>
      </c>
      <c r="B332" s="1780">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6123D-3BEC-81A8-5E4F-161BD8ED1F5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20"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1" t="s">
        <v>682</v>
      </c>
      <c r="D2" s="1674"/>
      <c r="E2" s="1683"/>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79"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80"/>
      <c r="F5" s="2480"/>
      <c r="G5" s="2481"/>
      <c r="H5" s="268"/>
      <c r="R5" s="376">
        <v>33</v>
      </c>
    </row>
    <row s="1637" customFormat="1" customHeight="1" ht="18">
      <c r="A6" s="1670"/>
      <c r="B6" s="1162"/>
      <c r="C6" s="378"/>
      <c r="D6" s="2482" t="str">
        <f>IF(org=0,"Не определено",org)</f>
        <v>Муниципальное унитарное предприятие "Невельские коммунальные сети"</v>
      </c>
      <c r="E6" s="2483"/>
      <c r="F6" s="2483"/>
      <c r="G6" s="2484"/>
      <c r="H6" s="268"/>
      <c r="J6" s="1626"/>
      <c r="K6" s="1626"/>
      <c r="R6" s="1633">
        <v>17</v>
      </c>
    </row>
    <row customHeight="1" ht="14.699999999999998">
      <c r="C7" s="378"/>
      <c r="D7" s="365"/>
      <c r="E7" s="391"/>
      <c r="F7" s="391"/>
      <c r="G7" s="754"/>
      <c r="H7" s="195"/>
      <c r="R7" s="376">
        <v>14</v>
      </c>
    </row>
    <row customHeight="1" ht="14.699999999999998">
      <c r="C8" s="378"/>
      <c r="D8" s="2232" t="s">
        <v>295</v>
      </c>
      <c r="E8" s="2232"/>
      <c r="F8" s="2232"/>
      <c r="G8" s="2232"/>
      <c r="H8" s="2414" t="s">
        <v>296</v>
      </c>
      <c r="R8" s="376">
        <v>14</v>
      </c>
    </row>
    <row customHeight="1" ht="24">
      <c r="C9" s="378"/>
      <c r="D9" s="388" t="s">
        <v>88</v>
      </c>
      <c r="E9" s="110" t="s">
        <v>297</v>
      </c>
      <c r="F9" s="110" t="s">
        <v>298</v>
      </c>
      <c r="G9" s="110" t="s">
        <v>385</v>
      </c>
      <c r="H9" s="2414"/>
      <c r="R9" s="376">
        <v>23</v>
      </c>
    </row>
    <row customHeight="1" ht="14.699999999999998">
      <c r="A10" s="345"/>
      <c r="C10" s="378"/>
      <c r="D10" s="149" t="s">
        <v>106</v>
      </c>
      <c r="E10" s="188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c r="G10" s="215"/>
      <c r="H10" s="2184" t="s">
        <v>1208</v>
      </c>
      <c r="R10" s="376">
        <v>14</v>
      </c>
    </row>
    <row customHeight="1" ht="14.699999999999998">
      <c r="A11" s="345"/>
      <c r="C11" s="378"/>
      <c r="D11" s="149" t="s">
        <v>107</v>
      </c>
      <c r="E11" s="188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c r="G11" s="215"/>
      <c r="H11" s="2185"/>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8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85"/>
      <c r="I13" s="352"/>
      <c r="K13" s="376"/>
      <c r="R13" s="376">
        <v>14</v>
      </c>
    </row>
    <row customHeight="1" ht="14.699999999999998">
      <c r="A14" s="345"/>
      <c r="C14" s="378"/>
      <c r="D14" s="349"/>
      <c r="E14" s="397" t="s">
        <v>317</v>
      </c>
      <c r="F14" s="351"/>
      <c r="G14" s="203"/>
      <c r="H14" s="2186"/>
      <c r="R14" s="376">
        <v>14</v>
      </c>
    </row>
    <row s="1637" customFormat="1" customHeight="1" ht="14.699999999999998">
      <c r="A15" s="345"/>
      <c r="B15" s="1162"/>
      <c r="C15" s="378"/>
      <c r="D15" s="398"/>
      <c r="E15" s="1678"/>
      <c r="F15" s="1679"/>
      <c r="G15" s="1680"/>
      <c r="H15" s="1681"/>
      <c r="J15" s="1626"/>
      <c r="K15" s="1626"/>
      <c r="R15" s="1633">
        <v>14</v>
      </c>
    </row>
    <row customHeight="1" ht="14.699999999999998">
      <c r="D16" s="1682"/>
      <c r="E16" s="2410"/>
      <c r="F16" s="2410"/>
      <c r="G16" s="2410"/>
      <c r="H16" s="2410"/>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70443-78C4-0E55-F618-2B8C2F6F0A2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55" t="s">
        <v>1209</v>
      </c>
      <c r="E5" s="2255"/>
      <c r="F5" s="2255"/>
      <c r="G5" s="2255"/>
      <c r="H5" s="2255"/>
      <c r="I5" s="2255"/>
      <c r="J5" s="2255"/>
      <c r="V5" s="507">
        <v>63</v>
      </c>
    </row>
    <row customHeight="1" ht="15.75">
      <c r="C6" s="178"/>
      <c r="D6" s="2224" t="str">
        <f>IF(org=0,"Не определено",org)</f>
        <v>Муниципальное унитарное предприятие "Невельские коммунальные сети"</v>
      </c>
      <c r="E6" s="2224"/>
      <c r="F6" s="2224"/>
      <c r="G6" s="2224"/>
      <c r="H6" s="2224"/>
      <c r="I6" s="2224"/>
      <c r="J6" s="2224"/>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114</v>
      </c>
      <c r="J8" s="754"/>
      <c r="K8" s="419"/>
      <c r="U8" s="677"/>
      <c r="V8" s="760">
        <v>1</v>
      </c>
    </row>
    <row customHeight="1" ht="15.75">
      <c r="C9" s="178"/>
      <c r="D9" s="713"/>
      <c r="E9" s="2395" t="s">
        <v>102</v>
      </c>
      <c r="F9" s="2396"/>
      <c r="G9" s="2422" t="str">
        <f>IF(G8="","",INDEX(DIFFERENTIATION_UNMERGE_VD,MATCH(G8,DIFFERENTIATION_ID_DIFF,0)))</f>
        <v/>
      </c>
      <c r="H9" s="2423"/>
      <c r="I9" s="2422">
        <f>IF(I8="","",INDEX(DIFFERENTIATION_UNMERGE_VD,MATCH(I8,DIFFERENTIATION_ID_DIFF,0)))</f>
        <v>0</v>
      </c>
      <c r="J9" s="2423"/>
      <c r="K9" s="2199" t="s">
        <v>296</v>
      </c>
      <c r="V9" s="507">
        <v>15</v>
      </c>
    </row>
    <row s="1637" customFormat="1" customHeight="1" ht="15.75">
      <c r="A10" s="761"/>
      <c r="C10" s="178"/>
      <c r="D10" s="713"/>
      <c r="E10" s="2395" t="s">
        <v>557</v>
      </c>
      <c r="F10" s="2396"/>
      <c r="G10" s="2422" t="str">
        <f>IF(G8="","",INDEX(DIFFERENTIATION_UNMERGE_AREA,MATCH(G8,DIFFERENTIATION_ID_DIFF,0)))</f>
        <v/>
      </c>
      <c r="H10" s="2423"/>
      <c r="I10" s="2422" t="str">
        <f>IF(I8="","",INDEX(DIFFERENTIATION_UNMERGE_AREA,MATCH(I8,DIFFERENTIATION_ID_DIFF,0)))</f>
        <v/>
      </c>
      <c r="J10" s="2423"/>
      <c r="K10" s="2207"/>
      <c r="U10" s="677"/>
      <c r="V10" s="760">
        <v>15</v>
      </c>
    </row>
    <row s="1637" customFormat="1" customHeight="1" ht="15.75">
      <c r="A11" s="761"/>
      <c r="C11" s="178"/>
      <c r="D11" s="713"/>
      <c r="E11" s="2395" t="s">
        <v>558</v>
      </c>
      <c r="F11" s="2396"/>
      <c r="G11" s="2422" t="str">
        <f>IF(G8="","",INDEX(DIFFERENTIATION_UNMERGE_SYSTEM,MATCH(G8,DIFFERENTIATION_ID_DIFF,0)))</f>
        <v/>
      </c>
      <c r="H11" s="2423"/>
      <c r="I11" s="2422" t="str">
        <f>IF(I8="","",INDEX(DIFFERENTIATION_UNMERGE_SYSTEM,MATCH(I8,DIFFERENTIATION_ID_DIFF,0)))</f>
        <v>без дифференциации</v>
      </c>
      <c r="J11" s="2423"/>
      <c r="K11" s="2207"/>
      <c r="U11" s="677"/>
      <c r="V11" s="760">
        <v>15</v>
      </c>
    </row>
    <row s="1637" customFormat="1" customHeight="1" ht="15.75">
      <c r="A12" s="761"/>
      <c r="C12" s="178"/>
      <c r="D12" s="2397" t="s">
        <v>295</v>
      </c>
      <c r="E12" s="2398"/>
      <c r="F12" s="2398"/>
      <c r="G12" s="889"/>
      <c r="H12" s="889"/>
      <c r="I12" s="889"/>
      <c r="J12" s="889"/>
      <c r="K12" s="2207"/>
      <c r="U12" s="677"/>
      <c r="V12" s="760">
        <v>15</v>
      </c>
    </row>
    <row customHeight="1" ht="35.699999999999996">
      <c r="C13" s="178"/>
      <c r="D13" s="807" t="s">
        <v>88</v>
      </c>
      <c r="E13" s="809" t="s">
        <v>297</v>
      </c>
      <c r="F13" s="809" t="s">
        <v>559</v>
      </c>
      <c r="G13" s="810" t="s">
        <v>298</v>
      </c>
      <c r="H13" s="809" t="s">
        <v>385</v>
      </c>
      <c r="I13" s="810" t="s">
        <v>298</v>
      </c>
      <c r="J13" s="809" t="s">
        <v>385</v>
      </c>
      <c r="K13" s="2260"/>
      <c r="V13" s="507">
        <v>34</v>
      </c>
    </row>
    <row customHeight="1" ht="15" hidden="1">
      <c r="C14" s="178"/>
      <c r="D14" s="595" t="s">
        <v>106</v>
      </c>
      <c r="E14" s="595" t="s">
        <v>107</v>
      </c>
      <c r="F14" s="595" t="s">
        <v>90</v>
      </c>
      <c r="G14" s="661" t="str">
        <f>G1&amp;".1"</f>
        <v>4.1</v>
      </c>
      <c r="H14" s="661"/>
      <c r="I14" s="661" t="str">
        <f>I1&amp;".1"</f>
        <v>4.1</v>
      </c>
      <c r="J14" s="661"/>
      <c r="K14" s="291"/>
      <c r="V14" s="507">
        <v>0</v>
      </c>
    </row>
    <row customHeight="1" ht="22.5" hidden="1">
      <c r="A15" s="507"/>
      <c r="C15" s="528"/>
      <c r="D15" s="523">
        <v>1</v>
      </c>
      <c r="E15" s="679" t="s">
        <v>820</v>
      </c>
      <c r="F15" s="523" t="s">
        <v>821</v>
      </c>
      <c r="G15" s="680"/>
      <c r="H15" s="680"/>
      <c r="I15" s="680"/>
      <c r="J15" s="680"/>
      <c r="K15" s="291" t="s">
        <v>822</v>
      </c>
      <c r="V15" s="507">
        <v>0</v>
      </c>
    </row>
    <row customHeight="1" ht="22.5" hidden="1">
      <c r="A16" s="507"/>
      <c r="C16" s="528"/>
      <c r="D16" s="523">
        <v>2</v>
      </c>
      <c r="E16" s="281" t="s">
        <v>823</v>
      </c>
      <c r="F16" s="523" t="s">
        <v>824</v>
      </c>
      <c r="G16" s="680"/>
      <c r="H16" s="680"/>
      <c r="I16" s="680"/>
      <c r="J16" s="680"/>
      <c r="K16" s="291" t="s">
        <v>825</v>
      </c>
      <c r="V16" s="507">
        <v>0</v>
      </c>
    </row>
    <row customHeight="1" ht="123.75" hidden="1">
      <c r="A17" s="507"/>
      <c r="C17" s="528"/>
      <c r="D17" s="523">
        <v>3</v>
      </c>
      <c r="E17" s="281" t="s">
        <v>1210</v>
      </c>
      <c r="F17" s="523" t="s">
        <v>301</v>
      </c>
      <c r="G17" s="680"/>
      <c r="H17" s="680"/>
      <c r="I17" s="680"/>
      <c r="J17" s="680"/>
      <c r="K17" s="291" t="s">
        <v>1211</v>
      </c>
      <c r="V17" s="507">
        <v>0</v>
      </c>
    </row>
    <row customHeight="1" ht="48.29999999999999">
      <c r="A18" s="507"/>
      <c r="C18" s="528"/>
      <c r="D18" s="523">
        <v>3</v>
      </c>
      <c r="E18" s="281" t="s">
        <v>826</v>
      </c>
      <c r="F18" s="523" t="s">
        <v>301</v>
      </c>
      <c r="G18" s="811" t="s">
        <v>301</v>
      </c>
      <c r="H18" s="812" t="s">
        <v>301</v>
      </c>
      <c r="I18" s="523" t="s">
        <v>301</v>
      </c>
      <c r="J18" s="580" t="s">
        <v>301</v>
      </c>
      <c r="K18" s="291" t="s">
        <v>1212</v>
      </c>
      <c r="V18" s="507">
        <v>46</v>
      </c>
    </row>
    <row customHeight="1" ht="35.699999999999996">
      <c r="A19" s="507"/>
      <c r="C19" s="528"/>
      <c r="D19" s="541" t="s">
        <v>319</v>
      </c>
      <c r="E19" s="561" t="s">
        <v>828</v>
      </c>
      <c r="F19" s="523" t="s">
        <v>829</v>
      </c>
      <c r="G19" s="819"/>
      <c r="H19" s="108"/>
      <c r="I19" s="819"/>
      <c r="J19" s="820"/>
      <c r="K19" s="681"/>
      <c r="V19" s="507">
        <v>34</v>
      </c>
    </row>
    <row customHeight="1" ht="35.699999999999996">
      <c r="A20" s="507"/>
      <c r="C20" s="528"/>
      <c r="D20" s="1889" t="s">
        <v>327</v>
      </c>
      <c r="E20" s="561" t="s">
        <v>830</v>
      </c>
      <c r="F20" s="523" t="s">
        <v>831</v>
      </c>
      <c r="G20" s="819"/>
      <c r="H20" s="108"/>
      <c r="I20" s="819"/>
      <c r="J20" s="108"/>
      <c r="K20" s="681"/>
      <c r="V20" s="507">
        <v>34</v>
      </c>
    </row>
    <row customHeight="1" ht="48.29999999999999">
      <c r="A21" s="507"/>
      <c r="C21" s="528"/>
      <c r="D21" s="1889" t="s">
        <v>329</v>
      </c>
      <c r="E21" s="561" t="s">
        <v>832</v>
      </c>
      <c r="F21" s="523" t="s">
        <v>564</v>
      </c>
      <c r="G21" s="682"/>
      <c r="H21" s="108"/>
      <c r="I21" s="682"/>
      <c r="J21" s="108"/>
      <c r="K21" s="681"/>
      <c r="V21" s="507">
        <v>46</v>
      </c>
    </row>
    <row customHeight="1" ht="67.5" hidden="1">
      <c r="A22" s="507"/>
      <c r="C22" s="528"/>
      <c r="D22" s="523">
        <v>5</v>
      </c>
      <c r="E22" s="281" t="s">
        <v>1213</v>
      </c>
      <c r="F22" s="523" t="s">
        <v>551</v>
      </c>
      <c r="G22" s="683"/>
      <c r="H22" s="684"/>
      <c r="I22" s="683"/>
      <c r="J22" s="684"/>
      <c r="K22" s="291" t="s">
        <v>1214</v>
      </c>
      <c r="V22" s="507">
        <v>0</v>
      </c>
    </row>
    <row customHeight="1" ht="33.75" hidden="1">
      <c r="C23" s="453"/>
      <c r="D23" s="523">
        <v>6</v>
      </c>
      <c r="E23" s="281" t="s">
        <v>1215</v>
      </c>
      <c r="F23" s="523" t="s">
        <v>1216</v>
      </c>
      <c r="G23" s="683"/>
      <c r="H23" s="683"/>
      <c r="I23" s="683"/>
      <c r="J23" s="683"/>
      <c r="K23" s="291" t="s">
        <v>1217</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3105978-6698-64CF-7BC8-F78DF4C9429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49" width="11.00390625" customWidth="1"/>
    <col min="3" max="3" style="1849" width="9.140625"/>
    <col min="4" max="4" style="1849" width="26.57421875" customWidth="1"/>
    <col min="5" max="5" style="1824" width="36.8515625" customWidth="1"/>
    <col min="6" max="6" style="1824" width="41.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8" style="1068" width="34.57421875" customWidth="1"/>
    <col min="59" max="59" style="1824" width="30.7109375" customWidth="1"/>
    <col min="60" max="60" style="1839" width="40.7109375" customWidth="1"/>
    <col min="61" max="61" style="1839" width="15.00390625" customWidth="1"/>
    <col min="62" max="62" style="1839" width="40.7109375" customWidth="1"/>
    <col min="63" max="63" style="1839" width="2.7109375" customWidth="1"/>
    <col min="64" max="64" style="1839" width="44.7109375" customWidth="1"/>
    <col min="65" max="65" style="1839" width="2.7109375" customWidth="1"/>
    <col min="66" max="66" style="1839"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9" customFormat="1" customHeight="1" ht="11.25">
      <c r="A1" s="1069" t="s">
        <v>1218</v>
      </c>
      <c r="B1" s="1069" t="s">
        <v>1219</v>
      </c>
      <c r="C1" s="1069" t="s">
        <v>1220</v>
      </c>
      <c r="D1" s="1069" t="s">
        <v>1221</v>
      </c>
      <c r="E1" s="1069" t="s">
        <v>1222</v>
      </c>
      <c r="F1" s="1069" t="s">
        <v>1223</v>
      </c>
      <c r="G1" s="1069" t="s">
        <v>1224</v>
      </c>
      <c r="H1" s="1069" t="s">
        <v>1225</v>
      </c>
      <c r="I1" s="1069" t="s">
        <v>1226</v>
      </c>
      <c r="J1" s="1069" t="s">
        <v>1227</v>
      </c>
      <c r="K1" s="1069" t="s">
        <v>1228</v>
      </c>
      <c r="L1" s="1069" t="s">
        <v>1229</v>
      </c>
      <c r="M1" s="1069"/>
      <c r="N1" s="1069" t="s">
        <v>1230</v>
      </c>
      <c r="O1" s="1069" t="s">
        <v>1231</v>
      </c>
      <c r="P1" s="1069" t="s">
        <v>1232</v>
      </c>
      <c r="Q1" s="1069" t="s">
        <v>1233</v>
      </c>
      <c r="R1" s="1069" t="s">
        <v>1234</v>
      </c>
      <c r="S1" s="1069" t="s">
        <v>1235</v>
      </c>
      <c r="T1" s="1069" t="s">
        <v>1236</v>
      </c>
      <c r="U1" s="1069" t="s">
        <v>1237</v>
      </c>
      <c r="V1" s="1069"/>
      <c r="W1" s="799" t="s">
        <v>1238</v>
      </c>
      <c r="X1" s="1069" t="s">
        <v>1239</v>
      </c>
      <c r="Y1" s="1069" t="s">
        <v>1240</v>
      </c>
      <c r="Z1" s="1069"/>
      <c r="AA1" s="1069" t="s">
        <v>1241</v>
      </c>
      <c r="AB1" s="1069"/>
      <c r="AC1" s="1069" t="s">
        <v>1242</v>
      </c>
      <c r="AD1" s="1069"/>
      <c r="AF1" s="1069" t="s">
        <v>1243</v>
      </c>
      <c r="AH1" s="1069" t="s">
        <v>1244</v>
      </c>
      <c r="AI1" s="1069" t="s">
        <v>1245</v>
      </c>
      <c r="AK1" s="1069" t="s">
        <v>1246</v>
      </c>
      <c r="AM1" s="1069" t="s">
        <v>1247</v>
      </c>
      <c r="AP1" s="1069" t="s">
        <v>1248</v>
      </c>
      <c r="AQ1" s="1069" t="s">
        <v>1249</v>
      </c>
      <c r="AS1" s="1069" t="s">
        <v>1250</v>
      </c>
      <c r="AU1" s="1069" t="s">
        <v>1251</v>
      </c>
      <c r="AW1" s="1069" t="s">
        <v>1252</v>
      </c>
      <c r="AX1" s="1069" t="s">
        <v>1253</v>
      </c>
      <c r="AZ1" s="1154" t="s">
        <v>1254</v>
      </c>
      <c r="BB1" s="1069" t="s">
        <v>1255</v>
      </c>
      <c r="BC1" s="1069"/>
      <c r="BE1" s="1069" t="s">
        <v>1256</v>
      </c>
      <c r="BF1" s="1069" t="s">
        <v>1257</v>
      </c>
      <c r="BH1" s="1071" t="s">
        <v>819</v>
      </c>
      <c r="BI1" s="1072"/>
      <c r="BJ1" s="1073" t="s">
        <v>1258</v>
      </c>
      <c r="BK1" s="1072"/>
      <c r="BL1" s="1074" t="s">
        <v>918</v>
      </c>
      <c r="BM1" s="1072"/>
      <c r="BN1" s="1075" t="s">
        <v>1259</v>
      </c>
      <c r="BS1" s="1429"/>
    </row>
    <row customHeight="1" ht="11.25">
      <c r="A2" s="1076" t="s">
        <v>1260</v>
      </c>
      <c r="B2" s="1077">
        <v>2000</v>
      </c>
      <c r="C2" s="1077">
        <v>2022</v>
      </c>
      <c r="D2" s="1077" t="s">
        <v>65</v>
      </c>
      <c r="E2" s="1078" t="s">
        <v>1261</v>
      </c>
      <c r="F2" s="1078" t="s">
        <v>1262</v>
      </c>
      <c r="G2" s="1078" t="s">
        <v>1263</v>
      </c>
      <c r="H2" s="1079" t="s">
        <v>54</v>
      </c>
      <c r="I2" s="1078" t="s">
        <v>106</v>
      </c>
      <c r="J2" s="1078" t="s">
        <v>1264</v>
      </c>
      <c r="K2" s="1080" t="s">
        <v>1265</v>
      </c>
      <c r="L2" s="1081"/>
      <c r="M2" s="1080">
        <v>1</v>
      </c>
      <c r="N2" s="1164" t="s">
        <v>1266</v>
      </c>
      <c r="O2" s="1079" t="s">
        <v>1267</v>
      </c>
      <c r="P2" s="1082" t="s">
        <v>1268</v>
      </c>
      <c r="Q2" s="1083" t="s">
        <v>1269</v>
      </c>
      <c r="R2" s="145" t="s">
        <v>1270</v>
      </c>
      <c r="S2" s="145" t="s">
        <v>1271</v>
      </c>
      <c r="T2" s="1084" t="s">
        <v>1272</v>
      </c>
      <c r="U2" s="1081" t="s">
        <v>1273</v>
      </c>
      <c r="V2" s="1085">
        <v>1</v>
      </c>
      <c r="W2" s="1086"/>
      <c r="X2" s="1086" t="s">
        <v>1274</v>
      </c>
      <c r="Y2" s="1077" t="s">
        <v>1275</v>
      </c>
      <c r="Z2" s="1087"/>
      <c r="AA2" s="1077" t="s">
        <v>1276</v>
      </c>
      <c r="AB2" s="1088" t="s">
        <v>1276</v>
      </c>
      <c r="AC2" s="1077" t="s">
        <v>1277</v>
      </c>
      <c r="AD2" s="1088" t="s">
        <v>1277</v>
      </c>
      <c r="AF2" s="1079" t="s">
        <v>1273</v>
      </c>
      <c r="AH2" s="1078" t="s">
        <v>1278</v>
      </c>
      <c r="AI2" s="1078" t="s">
        <v>1278</v>
      </c>
      <c r="AK2" s="1078" t="s">
        <v>1279</v>
      </c>
      <c r="AM2" s="1078" t="s">
        <v>1280</v>
      </c>
      <c r="AP2" s="1089" t="s">
        <v>1274</v>
      </c>
      <c r="AQ2" s="1090" t="s">
        <v>1274</v>
      </c>
      <c r="AS2" s="1077" t="s">
        <v>1281</v>
      </c>
      <c r="AU2" s="1122" t="s">
        <v>1282</v>
      </c>
      <c r="AW2" s="1122" t="s">
        <v>1283</v>
      </c>
      <c r="AX2" s="1122" t="s">
        <v>1283</v>
      </c>
      <c r="AZ2" s="1122" t="s">
        <v>1284</v>
      </c>
      <c r="BB2" s="1122" t="s">
        <v>1285</v>
      </c>
      <c r="BC2" s="1122" t="s">
        <v>1286</v>
      </c>
      <c r="BE2" s="2087" t="s">
        <v>1287</v>
      </c>
      <c r="BF2" s="2087" t="s">
        <v>1287</v>
      </c>
    </row>
    <row customHeight="1" ht="11.25">
      <c r="A3" s="1076" t="s">
        <v>1288</v>
      </c>
      <c r="B3" s="1077">
        <v>2001</v>
      </c>
      <c r="C3" s="1077">
        <v>2023</v>
      </c>
      <c r="D3" s="1077" t="s">
        <v>19</v>
      </c>
      <c r="E3" s="1078" t="s">
        <v>1289</v>
      </c>
      <c r="F3" s="1078" t="s">
        <v>1290</v>
      </c>
      <c r="G3" s="1078" t="s">
        <v>1291</v>
      </c>
      <c r="H3" s="1079" t="s">
        <v>1292</v>
      </c>
      <c r="I3" s="1078" t="s">
        <v>107</v>
      </c>
      <c r="J3" s="1078" t="s">
        <v>549</v>
      </c>
      <c r="K3" s="1080" t="s">
        <v>1293</v>
      </c>
      <c r="L3" s="1081">
        <f>_xlfn.IFERROR(MATCH(K3,OFFER_METHOD,0),0)</f>
        <v>0</v>
      </c>
      <c r="M3" s="1080">
        <v>2</v>
      </c>
      <c r="N3" s="1164" t="s">
        <v>1294</v>
      </c>
      <c r="O3" s="1079" t="s">
        <v>1295</v>
      </c>
      <c r="P3" s="1082" t="s">
        <v>38</v>
      </c>
      <c r="Q3" s="1083" t="s">
        <v>1296</v>
      </c>
      <c r="R3" s="145" t="s">
        <v>1297</v>
      </c>
      <c r="S3" s="145" t="s">
        <v>1298</v>
      </c>
      <c r="T3" s="1084" t="s">
        <v>1299</v>
      </c>
      <c r="U3" s="1081" t="s">
        <v>1300</v>
      </c>
      <c r="V3" s="1085">
        <v>2</v>
      </c>
      <c r="W3" s="1086"/>
      <c r="X3" s="1086" t="s">
        <v>1301</v>
      </c>
      <c r="Y3" s="1077" t="s">
        <v>1275</v>
      </c>
      <c r="Z3" s="1087"/>
      <c r="AA3" s="1077" t="s">
        <v>1302</v>
      </c>
      <c r="AB3" s="1088" t="s">
        <v>1302</v>
      </c>
      <c r="AC3" s="1077" t="s">
        <v>1303</v>
      </c>
      <c r="AD3" s="1088" t="s">
        <v>1303</v>
      </c>
      <c r="AF3" s="1079" t="s">
        <v>1300</v>
      </c>
      <c r="AH3" s="1078" t="s">
        <v>1304</v>
      </c>
      <c r="AI3" s="1078" t="s">
        <v>1305</v>
      </c>
      <c r="AK3" s="1078" t="s">
        <v>1306</v>
      </c>
      <c r="AM3" s="1078" t="s">
        <v>1307</v>
      </c>
      <c r="AP3" s="1089" t="s">
        <v>1308</v>
      </c>
      <c r="AQ3" s="1090" t="s">
        <v>1308</v>
      </c>
      <c r="AS3" s="1077" t="s">
        <v>1309</v>
      </c>
      <c r="AU3" s="1122" t="s">
        <v>1310</v>
      </c>
      <c r="AW3" s="1122" t="s">
        <v>1311</v>
      </c>
      <c r="AX3" s="1122" t="s">
        <v>1311</v>
      </c>
      <c r="AZ3" s="1122" t="s">
        <v>1312</v>
      </c>
      <c r="BB3" s="1122" t="s">
        <v>1313</v>
      </c>
      <c r="BC3" s="1122" t="s">
        <v>1286</v>
      </c>
      <c r="BE3" s="2087" t="s">
        <v>1314</v>
      </c>
      <c r="BF3" s="2087" t="s">
        <v>1314</v>
      </c>
      <c r="BH3" s="1069" t="s">
        <v>1315</v>
      </c>
      <c r="BJ3" s="1069" t="s">
        <v>1316</v>
      </c>
      <c r="BL3" s="1069" t="s">
        <v>1317</v>
      </c>
      <c r="BN3" s="1069" t="s">
        <v>1318</v>
      </c>
      <c r="BR3" s="1069" t="s">
        <v>1319</v>
      </c>
      <c r="BS3" s="1430"/>
      <c r="BT3" s="1072"/>
      <c r="BU3" s="1069" t="s">
        <v>1320</v>
      </c>
      <c r="BV3" s="1072"/>
      <c r="BW3" s="1691"/>
      <c r="BX3" s="1693" t="s">
        <v>1321</v>
      </c>
      <c r="CA3" s="1069" t="s">
        <v>1322</v>
      </c>
    </row>
    <row customHeight="1" ht="11.25">
      <c r="A4" s="1076" t="s">
        <v>1323</v>
      </c>
      <c r="B4" s="1077">
        <v>2002</v>
      </c>
      <c r="C4" s="1077">
        <v>2024</v>
      </c>
      <c r="E4" s="1078" t="s">
        <v>1324</v>
      </c>
      <c r="F4" s="1078" t="s">
        <v>1325</v>
      </c>
      <c r="H4" s="1079" t="s">
        <v>1326</v>
      </c>
      <c r="I4" s="1078" t="s">
        <v>90</v>
      </c>
      <c r="J4" s="1078" t="s">
        <v>1327</v>
      </c>
      <c r="K4" s="1080" t="s">
        <v>1328</v>
      </c>
      <c r="L4" s="1081">
        <f>_xlfn.IFERROR(MATCH(K4,OFFER_METHOD,0),0)</f>
        <v>0</v>
      </c>
      <c r="M4" s="1080">
        <v>3</v>
      </c>
      <c r="N4" s="1164" t="s">
        <v>1329</v>
      </c>
      <c r="O4" s="1078" t="s">
        <v>1330</v>
      </c>
      <c r="Q4" s="1083" t="s">
        <v>1331</v>
      </c>
      <c r="R4" s="145" t="s">
        <v>1332</v>
      </c>
      <c r="S4" s="145" t="s">
        <v>1333</v>
      </c>
      <c r="T4" s="1084" t="s">
        <v>1334</v>
      </c>
      <c r="U4" s="1081" t="s">
        <v>1335</v>
      </c>
      <c r="V4" s="1085">
        <v>3</v>
      </c>
      <c r="W4" s="1086"/>
      <c r="X4" s="1086" t="s">
        <v>1336</v>
      </c>
      <c r="Y4" s="1077" t="s">
        <v>1275</v>
      </c>
      <c r="Z4" s="1093"/>
      <c r="AC4" s="1077" t="s">
        <v>1337</v>
      </c>
      <c r="AD4" s="1088" t="s">
        <v>1337</v>
      </c>
      <c r="AF4" s="1079" t="s">
        <v>1335</v>
      </c>
      <c r="AH4" s="1079" t="s">
        <v>1338</v>
      </c>
      <c r="AK4" s="1078" t="s">
        <v>1339</v>
      </c>
      <c r="AM4" s="1078" t="s">
        <v>1340</v>
      </c>
      <c r="AP4" s="1089" t="s">
        <v>1301</v>
      </c>
      <c r="AQ4" s="1090" t="s">
        <v>1301</v>
      </c>
      <c r="AS4" s="1077" t="s">
        <v>1341</v>
      </c>
      <c r="AU4" s="1122" t="s">
        <v>1342</v>
      </c>
      <c r="AW4" s="1122" t="s">
        <v>1343</v>
      </c>
      <c r="AX4" s="1122" t="s">
        <v>1343</v>
      </c>
      <c r="AZ4" s="1122" t="s">
        <v>1344</v>
      </c>
      <c r="BB4" s="1122" t="s">
        <v>1345</v>
      </c>
      <c r="BC4" s="1122" t="s">
        <v>1346</v>
      </c>
      <c r="BE4" s="1122">
        <v>2000</v>
      </c>
      <c r="BF4" s="1122" t="s">
        <v>1347</v>
      </c>
      <c r="BH4" s="1070" t="s">
        <v>1348</v>
      </c>
      <c r="BJ4" s="1070" t="s">
        <v>1348</v>
      </c>
      <c r="BL4" s="1070" t="s">
        <v>1348</v>
      </c>
      <c r="BN4" s="1070" t="s">
        <v>1348</v>
      </c>
      <c r="BQ4" s="1434" t="s">
        <v>1349</v>
      </c>
      <c r="BR4" s="1161" t="s">
        <v>1350</v>
      </c>
      <c r="BS4" s="276"/>
      <c r="BT4" s="1434" t="s">
        <v>1351</v>
      </c>
      <c r="BU4" s="1161" t="s">
        <v>1352</v>
      </c>
      <c r="BV4" s="1072"/>
      <c r="BW4" s="1698" t="s">
        <v>1353</v>
      </c>
      <c r="BX4" s="1692" t="s">
        <v>1354</v>
      </c>
      <c r="BZ4" s="1434" t="s">
        <v>1355</v>
      </c>
      <c r="CA4" s="1161" t="s">
        <v>1356</v>
      </c>
    </row>
    <row customHeight="1" ht="11.25">
      <c r="A5" s="1076" t="s">
        <v>1357</v>
      </c>
      <c r="B5" s="1077">
        <v>2003</v>
      </c>
      <c r="C5" s="2093">
        <v>2025</v>
      </c>
      <c r="D5" s="1699" t="s">
        <v>1358</v>
      </c>
      <c r="E5" s="2094" t="s">
        <v>1359</v>
      </c>
      <c r="F5" s="1078" t="s">
        <v>1360</v>
      </c>
      <c r="H5" s="1079" t="s">
        <v>1361</v>
      </c>
      <c r="I5" s="1078" t="s">
        <v>91</v>
      </c>
      <c r="K5" s="1080" t="s">
        <v>1362</v>
      </c>
      <c r="L5" s="1081">
        <f>_xlfn.IFERROR(MATCH(K5,OFFER_METHOD,0),0)</f>
        <v>0</v>
      </c>
      <c r="M5" s="1080">
        <v>4</v>
      </c>
      <c r="N5" s="1094" t="s">
        <v>1363</v>
      </c>
      <c r="O5" s="1078" t="s">
        <v>1364</v>
      </c>
      <c r="Q5" s="1083" t="s">
        <v>1365</v>
      </c>
      <c r="R5" s="145" t="s">
        <v>1366</v>
      </c>
      <c r="T5" s="1079" t="s">
        <v>1367</v>
      </c>
      <c r="U5" s="1081" t="s">
        <v>1368</v>
      </c>
      <c r="V5" s="1085">
        <v>4</v>
      </c>
      <c r="W5" s="1086"/>
      <c r="X5" s="1086" t="s">
        <v>163</v>
      </c>
      <c r="Y5" s="1077" t="s">
        <v>1369</v>
      </c>
      <c r="Z5" s="1093">
        <v>1</v>
      </c>
      <c r="AF5" s="1079" t="s">
        <v>1370</v>
      </c>
      <c r="AH5" s="1078" t="s">
        <v>1371</v>
      </c>
      <c r="AK5" s="1078" t="s">
        <v>1372</v>
      </c>
      <c r="AM5" s="1078" t="s">
        <v>1373</v>
      </c>
      <c r="AP5" s="1089" t="s">
        <v>163</v>
      </c>
      <c r="AQ5" s="1090" t="s">
        <v>163</v>
      </c>
      <c r="AU5" s="1122" t="s">
        <v>1374</v>
      </c>
      <c r="AW5" s="1122" t="s">
        <v>1375</v>
      </c>
      <c r="AX5" s="1122" t="s">
        <v>1375</v>
      </c>
      <c r="AZ5" s="1122" t="s">
        <v>1376</v>
      </c>
      <c r="BB5" s="1122" t="s">
        <v>1377</v>
      </c>
      <c r="BC5" s="1122" t="s">
        <v>1378</v>
      </c>
      <c r="BE5" s="1122">
        <v>2001</v>
      </c>
      <c r="BF5" s="1122" t="s">
        <v>1379</v>
      </c>
      <c r="BH5" s="1070" t="s">
        <v>1380</v>
      </c>
      <c r="BJ5" s="1070" t="s">
        <v>1380</v>
      </c>
      <c r="BL5" s="1070" t="s">
        <v>1380</v>
      </c>
      <c r="BN5" s="1070" t="s">
        <v>1381</v>
      </c>
      <c r="BQ5" s="1283">
        <v>4213775</v>
      </c>
      <c r="BR5" s="1070" t="s">
        <v>1274</v>
      </c>
      <c r="BS5" s="1431"/>
      <c r="BT5" s="1283">
        <v>64236871</v>
      </c>
      <c r="BU5" s="1070" t="s">
        <v>224</v>
      </c>
      <c r="BV5" s="1072"/>
      <c r="BW5" s="1696">
        <v>4213767</v>
      </c>
      <c r="BX5" s="1694" t="s">
        <v>1382</v>
      </c>
      <c r="BZ5" s="1283">
        <v>64237509</v>
      </c>
      <c r="CA5" s="1297" t="s">
        <v>1383</v>
      </c>
    </row>
    <row customHeight="1" ht="11.25">
      <c r="A6" s="1076" t="s">
        <v>1384</v>
      </c>
      <c r="B6" s="1077">
        <v>2004</v>
      </c>
      <c r="C6" s="2093">
        <v>2026</v>
      </c>
      <c r="D6" s="2095"/>
      <c r="E6" s="2094" t="s">
        <v>1385</v>
      </c>
      <c r="F6" s="1095"/>
      <c r="H6" s="1079" t="s">
        <v>1386</v>
      </c>
      <c r="I6" s="1078" t="s">
        <v>108</v>
      </c>
      <c r="J6" s="1069" t="s">
        <v>1387</v>
      </c>
      <c r="L6" s="1081">
        <f>SUM(kind_of_control_method_filter)</f>
        <v>0</v>
      </c>
      <c r="N6" s="1094" t="s">
        <v>1388</v>
      </c>
      <c r="O6" s="1078" t="s">
        <v>1389</v>
      </c>
      <c r="R6" s="145" t="s">
        <v>1269</v>
      </c>
      <c r="T6" s="1079" t="s">
        <v>1390</v>
      </c>
      <c r="U6" s="1081" t="s">
        <v>1370</v>
      </c>
      <c r="V6" s="1085">
        <v>5</v>
      </c>
      <c r="W6" s="1086"/>
      <c r="X6" s="1077" t="s">
        <v>169</v>
      </c>
      <c r="Y6" s="1077" t="s">
        <v>1391</v>
      </c>
      <c r="Z6" s="1093"/>
      <c r="AA6" s="1096"/>
      <c r="AH6" s="1078" t="s">
        <v>1392</v>
      </c>
      <c r="AK6" s="1078" t="s">
        <v>1393</v>
      </c>
      <c r="AM6" s="1078" t="s">
        <v>1394</v>
      </c>
      <c r="AP6" s="1089" t="s">
        <v>169</v>
      </c>
      <c r="AQ6" s="1090" t="s">
        <v>169</v>
      </c>
      <c r="AU6" s="1122" t="s">
        <v>1395</v>
      </c>
      <c r="AW6" s="1122" t="s">
        <v>1396</v>
      </c>
      <c r="AX6" s="1122" t="s">
        <v>1396</v>
      </c>
      <c r="BB6" s="1122" t="s">
        <v>1397</v>
      </c>
      <c r="BC6" s="1122" t="s">
        <v>1378</v>
      </c>
      <c r="BE6" s="1122">
        <v>2002</v>
      </c>
      <c r="BF6" s="1122" t="s">
        <v>1398</v>
      </c>
      <c r="BH6" s="1070" t="s">
        <v>1399</v>
      </c>
      <c r="BJ6" s="1070" t="s">
        <v>1400</v>
      </c>
      <c r="BL6" s="1070" t="s">
        <v>1400</v>
      </c>
      <c r="BN6" s="1070" t="s">
        <v>1401</v>
      </c>
      <c r="BQ6" s="1283">
        <v>4213784</v>
      </c>
      <c r="BR6" s="1297" t="s">
        <v>1308</v>
      </c>
      <c r="BS6" s="1432"/>
      <c r="BT6" s="1283">
        <v>64236872</v>
      </c>
      <c r="BU6" s="1070" t="s">
        <v>229</v>
      </c>
      <c r="BV6" s="1072"/>
      <c r="BW6" s="1696">
        <v>4213768</v>
      </c>
      <c r="BX6" s="1694" t="s">
        <v>249</v>
      </c>
      <c r="BZ6" s="1283">
        <v>64237510</v>
      </c>
      <c r="CA6" s="1070" t="s">
        <v>1402</v>
      </c>
    </row>
    <row customHeight="1" ht="11.25">
      <c r="A7" s="1076" t="s">
        <v>1403</v>
      </c>
      <c r="B7" s="1077">
        <v>2005</v>
      </c>
      <c r="E7" s="1078" t="s">
        <v>1404</v>
      </c>
      <c r="F7" s="1095"/>
      <c r="H7" s="1079" t="s">
        <v>1405</v>
      </c>
      <c r="I7" s="1078" t="s">
        <v>92</v>
      </c>
      <c r="J7" s="1078" t="s">
        <v>1406</v>
      </c>
      <c r="N7" s="1098" t="s">
        <v>1407</v>
      </c>
      <c r="O7" s="1078" t="s">
        <v>1408</v>
      </c>
      <c r="U7" s="1081" t="s">
        <v>19</v>
      </c>
      <c r="V7" s="372" t="s">
        <v>92</v>
      </c>
      <c r="W7" s="1086"/>
      <c r="X7" s="1077" t="s">
        <v>175</v>
      </c>
      <c r="Y7" s="1077" t="s">
        <v>1369</v>
      </c>
      <c r="Z7" s="1093"/>
      <c r="AA7" s="1096"/>
      <c r="AH7" s="1078" t="s">
        <v>1409</v>
      </c>
      <c r="AK7" s="1078" t="s">
        <v>1410</v>
      </c>
      <c r="AM7" s="1078" t="s">
        <v>1411</v>
      </c>
      <c r="AP7" s="1089" t="s">
        <v>175</v>
      </c>
      <c r="AQ7" s="1090" t="s">
        <v>175</v>
      </c>
      <c r="AU7" s="1122" t="s">
        <v>1412</v>
      </c>
      <c r="AW7" s="1122" t="s">
        <v>1413</v>
      </c>
      <c r="AX7" s="1122" t="s">
        <v>1413</v>
      </c>
      <c r="AZ7" s="1069" t="s">
        <v>1414</v>
      </c>
      <c r="BB7" s="1122" t="s">
        <v>1415</v>
      </c>
      <c r="BC7" s="1122" t="s">
        <v>1378</v>
      </c>
      <c r="BE7" s="1122">
        <v>2003</v>
      </c>
      <c r="BF7" s="1122" t="s">
        <v>1416</v>
      </c>
      <c r="BH7" s="1070" t="s">
        <v>1417</v>
      </c>
      <c r="BJ7" s="1070" t="s">
        <v>1399</v>
      </c>
      <c r="BL7" s="1070" t="s">
        <v>1399</v>
      </c>
      <c r="BN7" s="1070" t="s">
        <v>1418</v>
      </c>
      <c r="BQ7" s="1283">
        <v>4213781</v>
      </c>
      <c r="BR7" s="1070" t="s">
        <v>1301</v>
      </c>
      <c r="BS7" s="1431"/>
      <c r="BT7" s="1283">
        <v>64236873</v>
      </c>
      <c r="BU7" s="1070" t="s">
        <v>234</v>
      </c>
      <c r="BV7" s="1072"/>
      <c r="BW7" s="1696">
        <v>4213769</v>
      </c>
      <c r="BX7" s="1694" t="s">
        <v>1419</v>
      </c>
      <c r="BZ7" s="1283">
        <v>64237511</v>
      </c>
      <c r="CA7" s="1070" t="s">
        <v>264</v>
      </c>
    </row>
    <row customHeight="1" ht="11.25">
      <c r="A8" s="1076" t="s">
        <v>1420</v>
      </c>
      <c r="B8" s="1077">
        <v>2006</v>
      </c>
      <c r="E8" s="1078" t="s">
        <v>1421</v>
      </c>
      <c r="F8" s="1095"/>
      <c r="H8" s="1079" t="s">
        <v>1422</v>
      </c>
      <c r="I8" s="1078" t="s">
        <v>93</v>
      </c>
      <c r="J8" s="1078" t="s">
        <v>1423</v>
      </c>
      <c r="N8" s="1165" t="s">
        <v>1424</v>
      </c>
      <c r="O8" s="1078" t="s">
        <v>1425</v>
      </c>
      <c r="V8" s="372" t="s">
        <v>93</v>
      </c>
      <c r="W8" s="1086"/>
      <c r="X8" s="1077" t="s">
        <v>181</v>
      </c>
      <c r="Y8" s="1077" t="s">
        <v>1369</v>
      </c>
      <c r="Z8" s="1093"/>
      <c r="AA8" s="1096"/>
      <c r="AK8" s="1078" t="s">
        <v>1426</v>
      </c>
      <c r="AP8" s="1089" t="s">
        <v>181</v>
      </c>
      <c r="AQ8" s="1090" t="s">
        <v>181</v>
      </c>
      <c r="AU8" s="1122" t="s">
        <v>1427</v>
      </c>
      <c r="AW8" s="1122" t="s">
        <v>1428</v>
      </c>
      <c r="AX8" s="1122" t="s">
        <v>1428</v>
      </c>
      <c r="AZ8" s="1122" t="s">
        <v>67</v>
      </c>
      <c r="BB8" s="1122" t="s">
        <v>1429</v>
      </c>
      <c r="BC8" s="1122" t="s">
        <v>1378</v>
      </c>
      <c r="BE8" s="1122">
        <v>2004</v>
      </c>
      <c r="BF8" s="1122" t="s">
        <v>1430</v>
      </c>
      <c r="BH8" s="1070" t="s">
        <v>1431</v>
      </c>
      <c r="BJ8" s="1070" t="s">
        <v>1432</v>
      </c>
      <c r="BL8" s="1070" t="s">
        <v>1432</v>
      </c>
      <c r="BN8" s="1070" t="s">
        <v>1433</v>
      </c>
      <c r="BQ8" s="1283">
        <v>4213776</v>
      </c>
      <c r="BR8" s="1070" t="s">
        <v>163</v>
      </c>
      <c r="BS8" s="1431"/>
      <c r="BT8" s="1283">
        <v>64236874</v>
      </c>
      <c r="BU8" s="1297" t="s">
        <v>1434</v>
      </c>
      <c r="BV8" s="1072"/>
      <c r="BW8" s="1696">
        <v>4213770</v>
      </c>
      <c r="BX8" s="1697" t="s">
        <v>1435</v>
      </c>
      <c r="BZ8" s="1283">
        <v>64237512</v>
      </c>
      <c r="CA8" s="1070" t="s">
        <v>259</v>
      </c>
    </row>
    <row customHeight="1" ht="11.25">
      <c r="A9" s="1076" t="s">
        <v>1436</v>
      </c>
      <c r="B9" s="1077">
        <v>2007</v>
      </c>
      <c r="E9" s="1078" t="s">
        <v>1437</v>
      </c>
      <c r="F9" s="2096" t="s">
        <v>1438</v>
      </c>
      <c r="G9" s="1069" t="s">
        <v>1439</v>
      </c>
      <c r="H9" s="1069" t="s">
        <v>1440</v>
      </c>
      <c r="I9" s="1078" t="s">
        <v>109</v>
      </c>
      <c r="O9" s="1078" t="s">
        <v>1441</v>
      </c>
      <c r="V9" s="372" t="s">
        <v>109</v>
      </c>
      <c r="W9" s="1086"/>
      <c r="X9" s="1077" t="s">
        <v>187</v>
      </c>
      <c r="Y9" s="1077" t="s">
        <v>1275</v>
      </c>
      <c r="Z9" s="1093">
        <v>1</v>
      </c>
      <c r="AA9" s="1096"/>
      <c r="AK9" s="1078" t="s">
        <v>1442</v>
      </c>
      <c r="AP9" s="1089" t="s">
        <v>1443</v>
      </c>
      <c r="AQ9" s="1090" t="s">
        <v>1443</v>
      </c>
      <c r="AW9" s="1122" t="s">
        <v>1444</v>
      </c>
      <c r="AX9" s="1122" t="s">
        <v>1444</v>
      </c>
      <c r="AZ9" s="1122" t="s">
        <v>1445</v>
      </c>
      <c r="BB9" s="1122" t="s">
        <v>1446</v>
      </c>
      <c r="BC9" s="1122" t="s">
        <v>1378</v>
      </c>
      <c r="BE9" s="1122">
        <v>2005</v>
      </c>
      <c r="BF9" s="1122" t="s">
        <v>1447</v>
      </c>
      <c r="BH9" s="1070" t="s">
        <v>1050</v>
      </c>
      <c r="BJ9" s="1070" t="s">
        <v>1448</v>
      </c>
      <c r="BL9" s="1070" t="s">
        <v>1448</v>
      </c>
      <c r="BN9" s="1070" t="s">
        <v>1449</v>
      </c>
      <c r="BQ9" s="1283">
        <v>4213777</v>
      </c>
      <c r="BR9" s="1070" t="s">
        <v>169</v>
      </c>
      <c r="BS9" s="1431"/>
      <c r="BT9" s="1283">
        <v>64236875</v>
      </c>
      <c r="BU9" s="1070" t="s">
        <v>239</v>
      </c>
      <c r="BV9" s="1072"/>
      <c r="BW9" s="1691"/>
      <c r="BX9" s="1691"/>
    </row>
    <row customHeight="1" ht="11.25">
      <c r="A10" s="1076" t="s">
        <v>1450</v>
      </c>
      <c r="B10" s="1077">
        <v>2008</v>
      </c>
      <c r="E10" s="1080" t="s">
        <v>1451</v>
      </c>
      <c r="F10" s="2097" t="s">
        <v>1452</v>
      </c>
      <c r="G10" s="2094" t="s">
        <v>1453</v>
      </c>
      <c r="H10" s="1078" t="s">
        <v>1454</v>
      </c>
      <c r="I10" s="1078" t="s">
        <v>145</v>
      </c>
      <c r="J10" s="1069" t="s">
        <v>1455</v>
      </c>
      <c r="K10" s="1069" t="s">
        <v>1456</v>
      </c>
      <c r="O10" s="1078" t="s">
        <v>1457</v>
      </c>
      <c r="V10" s="373" t="s">
        <v>145</v>
      </c>
      <c r="W10" s="1099"/>
      <c r="X10" s="1099" t="s">
        <v>1458</v>
      </c>
      <c r="Y10" s="1100" t="s">
        <v>1459</v>
      </c>
      <c r="Z10" s="1093"/>
      <c r="AP10" s="1089" t="s">
        <v>1458</v>
      </c>
      <c r="AQ10" s="1090" t="s">
        <v>1458</v>
      </c>
      <c r="AW10" s="1122" t="s">
        <v>1460</v>
      </c>
      <c r="AX10" s="1122" t="s">
        <v>1460</v>
      </c>
      <c r="AZ10" s="1122" t="s">
        <v>1163</v>
      </c>
      <c r="BB10" s="1122" t="s">
        <v>1461</v>
      </c>
      <c r="BC10" s="1122" t="s">
        <v>1378</v>
      </c>
      <c r="BE10" s="1122">
        <v>2006</v>
      </c>
      <c r="BF10" s="1122" t="s">
        <v>1462</v>
      </c>
      <c r="BH10" s="1070" t="s">
        <v>1463</v>
      </c>
      <c r="BJ10" s="1070" t="s">
        <v>1049</v>
      </c>
      <c r="BL10" s="1070" t="s">
        <v>1049</v>
      </c>
      <c r="BN10" s="1070" t="s">
        <v>1464</v>
      </c>
      <c r="BQ10" s="1283">
        <v>4213778</v>
      </c>
      <c r="BR10" s="1070" t="s">
        <v>175</v>
      </c>
      <c r="BS10" s="1431"/>
      <c r="BT10" s="1283">
        <v>64236876</v>
      </c>
      <c r="BU10" s="1070" t="s">
        <v>219</v>
      </c>
      <c r="BV10" s="1072"/>
      <c r="BW10" s="1691"/>
      <c r="BX10" s="1691"/>
    </row>
    <row customHeight="1" ht="11.25">
      <c r="A11" s="1076" t="s">
        <v>1465</v>
      </c>
      <c r="B11" s="1077">
        <v>2009</v>
      </c>
      <c r="E11" s="1080" t="s">
        <v>1466</v>
      </c>
      <c r="F11" s="2097" t="s">
        <v>1467</v>
      </c>
      <c r="G11" s="2094" t="s">
        <v>1468</v>
      </c>
      <c r="H11" s="1078" t="s">
        <v>1469</v>
      </c>
      <c r="I11" s="1078" t="s">
        <v>146</v>
      </c>
      <c r="J11" s="1079" t="s">
        <v>1470</v>
      </c>
      <c r="K11" s="1101" t="s">
        <v>1471</v>
      </c>
      <c r="O11" s="1079" t="s">
        <v>1472</v>
      </c>
      <c r="V11" s="372" t="s">
        <v>146</v>
      </c>
      <c r="W11" s="277"/>
      <c r="X11" s="1086" t="s">
        <v>1443</v>
      </c>
      <c r="Y11" s="1077" t="s">
        <v>1473</v>
      </c>
      <c r="Z11" s="1093"/>
      <c r="AP11" s="1089" t="s">
        <v>187</v>
      </c>
      <c r="AQ11" s="1091" t="s">
        <v>187</v>
      </c>
      <c r="AW11" s="1122" t="s">
        <v>1474</v>
      </c>
      <c r="AX11" s="1122" t="s">
        <v>1474</v>
      </c>
      <c r="AZ11" s="1122" t="s">
        <v>1475</v>
      </c>
      <c r="BB11" s="1122" t="s">
        <v>1476</v>
      </c>
      <c r="BC11" s="1122" t="s">
        <v>1378</v>
      </c>
      <c r="BE11" s="1122">
        <v>2007</v>
      </c>
      <c r="BF11" s="1122" t="s">
        <v>1477</v>
      </c>
      <c r="BH11" s="1070" t="s">
        <v>1478</v>
      </c>
      <c r="BJ11" s="1070" t="s">
        <v>1050</v>
      </c>
      <c r="BL11" s="1070" t="s">
        <v>1050</v>
      </c>
      <c r="BN11" s="1070" t="s">
        <v>1479</v>
      </c>
      <c r="BQ11" s="1283">
        <v>4213780</v>
      </c>
      <c r="BR11" s="1070" t="s">
        <v>181</v>
      </c>
      <c r="BS11" s="1431"/>
      <c r="BW11" s="1691"/>
      <c r="BX11" s="1691"/>
    </row>
    <row customHeight="1" ht="11.25">
      <c r="A12" s="1076" t="s">
        <v>1480</v>
      </c>
      <c r="B12" s="1077">
        <v>2010</v>
      </c>
      <c r="E12" s="1080" t="s">
        <v>1481</v>
      </c>
      <c r="F12" s="2097" t="s">
        <v>1482</v>
      </c>
      <c r="G12" s="2094" t="s">
        <v>1469</v>
      </c>
      <c r="I12" s="1078" t="s">
        <v>147</v>
      </c>
      <c r="J12" s="1079" t="s">
        <v>1483</v>
      </c>
      <c r="K12" s="1101" t="s">
        <v>1484</v>
      </c>
      <c r="O12" s="1079" t="s">
        <v>1269</v>
      </c>
      <c r="V12" s="372" t="s">
        <v>147</v>
      </c>
      <c r="W12" s="1091"/>
      <c r="X12" s="1086" t="s">
        <v>1485</v>
      </c>
      <c r="Y12" s="1077" t="s">
        <v>1275</v>
      </c>
      <c r="AP12" s="1089"/>
      <c r="AW12" s="1122" t="s">
        <v>146</v>
      </c>
      <c r="AX12" s="1122" t="s">
        <v>146</v>
      </c>
      <c r="AZ12" s="1122" t="s">
        <v>1486</v>
      </c>
      <c r="BB12" s="1122" t="s">
        <v>1487</v>
      </c>
      <c r="BC12" s="1122" t="s">
        <v>1378</v>
      </c>
      <c r="BE12" s="1122">
        <v>2008</v>
      </c>
      <c r="BF12" s="1122" t="s">
        <v>1488</v>
      </c>
      <c r="BH12" s="1070" t="s">
        <v>1489</v>
      </c>
      <c r="BJ12" s="1070" t="s">
        <v>1490</v>
      </c>
      <c r="BL12" s="1070" t="s">
        <v>1490</v>
      </c>
      <c r="BN12" s="1070" t="s">
        <v>1491</v>
      </c>
      <c r="BQ12" s="1283">
        <v>4213779</v>
      </c>
      <c r="BR12" s="1070" t="s">
        <v>1443</v>
      </c>
      <c r="BS12" s="1431"/>
      <c r="BT12" s="1072"/>
      <c r="BU12" s="1072"/>
      <c r="BV12" s="1072"/>
      <c r="BW12" s="1691"/>
      <c r="BX12" s="1691"/>
    </row>
    <row customHeight="1" ht="11.25">
      <c r="A13" s="1076" t="s">
        <v>1492</v>
      </c>
      <c r="B13" s="1077">
        <v>2011</v>
      </c>
      <c r="E13" s="1078" t="s">
        <v>1493</v>
      </c>
      <c r="F13" s="1095"/>
      <c r="I13" s="1078" t="s">
        <v>148</v>
      </c>
      <c r="K13" s="1101" t="s">
        <v>1442</v>
      </c>
      <c r="V13" s="372" t="s">
        <v>148</v>
      </c>
      <c r="W13" s="1091"/>
      <c r="X13" s="1091"/>
      <c r="Y13" s="1091"/>
      <c r="AW13" s="1122" t="s">
        <v>147</v>
      </c>
      <c r="AX13" s="1122" t="s">
        <v>147</v>
      </c>
      <c r="BB13" s="1122" t="s">
        <v>1494</v>
      </c>
      <c r="BC13" s="1122" t="s">
        <v>1495</v>
      </c>
      <c r="BE13" s="1122">
        <v>2009</v>
      </c>
      <c r="BF13" s="1122" t="s">
        <v>1496</v>
      </c>
      <c r="BH13" s="1070" t="s">
        <v>1497</v>
      </c>
      <c r="BJ13" s="1070" t="s">
        <v>1478</v>
      </c>
      <c r="BL13" s="1070" t="s">
        <v>1478</v>
      </c>
      <c r="BN13" s="1070" t="s">
        <v>1498</v>
      </c>
      <c r="BQ13" s="1283">
        <v>4213783</v>
      </c>
      <c r="BR13" s="1070" t="s">
        <v>1458</v>
      </c>
      <c r="BS13" s="1431"/>
      <c r="BT13" s="1072"/>
      <c r="BU13" s="1072"/>
      <c r="BV13" s="1072"/>
      <c r="BW13" s="1695"/>
      <c r="BX13" s="1691"/>
    </row>
    <row customHeight="1" ht="11.25">
      <c r="A14" s="1076" t="s">
        <v>1499</v>
      </c>
      <c r="B14" s="1077">
        <v>2012</v>
      </c>
      <c r="I14" s="1078" t="s">
        <v>149</v>
      </c>
      <c r="J14" s="1069" t="s">
        <v>1500</v>
      </c>
      <c r="N14" s="1069" t="s">
        <v>1501</v>
      </c>
      <c r="V14" s="1085">
        <v>13</v>
      </c>
      <c r="W14" s="1086"/>
      <c r="X14" s="1086" t="s">
        <v>1308</v>
      </c>
      <c r="Y14" s="1077" t="s">
        <v>1275</v>
      </c>
      <c r="AW14" s="1122" t="s">
        <v>148</v>
      </c>
      <c r="AX14" s="1122" t="s">
        <v>148</v>
      </c>
      <c r="AZ14" s="1069" t="s">
        <v>1502</v>
      </c>
      <c r="BB14" s="1122" t="s">
        <v>1503</v>
      </c>
      <c r="BC14" s="1122" t="s">
        <v>1495</v>
      </c>
      <c r="BE14" s="1122">
        <v>2010</v>
      </c>
      <c r="BF14" s="1122" t="s">
        <v>1504</v>
      </c>
      <c r="BH14" s="1070" t="s">
        <v>1418</v>
      </c>
      <c r="BJ14" s="1219" t="s">
        <v>1505</v>
      </c>
      <c r="BL14" s="1219" t="s">
        <v>1505</v>
      </c>
      <c r="BN14" s="1070" t="s">
        <v>1506</v>
      </c>
      <c r="BQ14" s="1283">
        <v>4213782</v>
      </c>
      <c r="BR14" s="1070" t="s">
        <v>187</v>
      </c>
      <c r="BS14" s="1431"/>
      <c r="BT14" s="1072"/>
      <c r="BU14" s="1072"/>
      <c r="BV14" s="1072"/>
      <c r="BW14" s="1695"/>
      <c r="BX14" s="1691"/>
    </row>
    <row customHeight="1" ht="19.5">
      <c r="A15" s="1076" t="s">
        <v>1507</v>
      </c>
      <c r="B15" s="1077">
        <v>2013</v>
      </c>
      <c r="E15" s="1699" t="s">
        <v>1508</v>
      </c>
      <c r="G15" s="1069" t="s">
        <v>1509</v>
      </c>
      <c r="H15" s="1069" t="s">
        <v>1510</v>
      </c>
      <c r="I15" s="1080" t="s">
        <v>150</v>
      </c>
      <c r="J15" s="1091" t="s">
        <v>577</v>
      </c>
      <c r="N15" s="1160" t="s">
        <v>1511</v>
      </c>
      <c r="X15" s="1089"/>
      <c r="AW15" s="1122" t="s">
        <v>149</v>
      </c>
      <c r="AX15" s="1122" t="s">
        <v>149</v>
      </c>
      <c r="AZ15" s="1122" t="s">
        <v>67</v>
      </c>
      <c r="BB15" s="1122" t="s">
        <v>1512</v>
      </c>
      <c r="BC15" s="1122" t="s">
        <v>1495</v>
      </c>
      <c r="BE15" s="1122">
        <v>2011</v>
      </c>
      <c r="BF15" s="1122" t="s">
        <v>1040</v>
      </c>
      <c r="BH15" s="1070" t="s">
        <v>1433</v>
      </c>
      <c r="BJ15" s="1219" t="s">
        <v>1513</v>
      </c>
      <c r="BL15" s="1219" t="s">
        <v>1513</v>
      </c>
      <c r="BN15" s="1070" t="s">
        <v>1514</v>
      </c>
      <c r="BR15" s="1072"/>
      <c r="BS15" s="1433"/>
      <c r="BT15" s="1072"/>
      <c r="BU15" s="1072"/>
      <c r="BV15" s="1072"/>
      <c r="BW15" s="1695"/>
      <c r="BX15" s="1691"/>
    </row>
    <row customHeight="1" ht="21">
      <c r="A16" s="1869" t="s">
        <v>1515</v>
      </c>
      <c r="B16" s="1077">
        <v>2014</v>
      </c>
      <c r="E16" s="1700" t="s">
        <v>1516</v>
      </c>
      <c r="G16" s="1078" t="s">
        <v>1517</v>
      </c>
      <c r="H16" s="1078" t="s">
        <v>1518</v>
      </c>
      <c r="I16" s="1080" t="s">
        <v>1519</v>
      </c>
      <c r="J16" s="1091" t="s">
        <v>549</v>
      </c>
      <c r="N16" s="1160" t="s">
        <v>1520</v>
      </c>
      <c r="AW16" s="1122" t="s">
        <v>150</v>
      </c>
      <c r="AX16" s="1122" t="s">
        <v>150</v>
      </c>
      <c r="AZ16" s="1122" t="s">
        <v>1445</v>
      </c>
      <c r="BB16" s="1122" t="s">
        <v>1521</v>
      </c>
      <c r="BC16" s="1122" t="s">
        <v>1495</v>
      </c>
      <c r="BE16" s="1122">
        <v>2012</v>
      </c>
      <c r="BH16" s="1070" t="s">
        <v>1449</v>
      </c>
      <c r="BJ16" s="1219" t="s">
        <v>1522</v>
      </c>
      <c r="BL16" s="1219" t="s">
        <v>1522</v>
      </c>
      <c r="BN16" s="1070" t="s">
        <v>1523</v>
      </c>
      <c r="BR16" s="1072"/>
      <c r="BS16" s="1433"/>
      <c r="BT16" s="1072"/>
      <c r="BU16" s="1072"/>
      <c r="BV16" s="1072"/>
      <c r="BW16" s="1695"/>
      <c r="BX16" s="1691"/>
    </row>
    <row customHeight="1" ht="21">
      <c r="A17" s="1076" t="s">
        <v>1524</v>
      </c>
      <c r="B17" s="1077">
        <v>2015</v>
      </c>
      <c r="G17" s="1078" t="s">
        <v>1469</v>
      </c>
      <c r="H17" s="1078" t="s">
        <v>1469</v>
      </c>
      <c r="I17" s="1078" t="s">
        <v>1525</v>
      </c>
      <c r="N17" s="1160" t="s">
        <v>1526</v>
      </c>
      <c r="X17" s="1089"/>
      <c r="AW17" s="1122" t="s">
        <v>1519</v>
      </c>
      <c r="AX17" s="1122" t="s">
        <v>1519</v>
      </c>
      <c r="AZ17" s="1122" t="s">
        <v>1527</v>
      </c>
      <c r="BB17" s="1122" t="s">
        <v>1528</v>
      </c>
      <c r="BC17" s="1122" t="s">
        <v>1378</v>
      </c>
      <c r="BE17" s="1122">
        <v>2013</v>
      </c>
      <c r="BH17" s="1070" t="s">
        <v>1464</v>
      </c>
      <c r="BJ17" s="1219" t="s">
        <v>1529</v>
      </c>
      <c r="BL17" s="1219" t="s">
        <v>1529</v>
      </c>
      <c r="BN17" s="1070" t="s">
        <v>1530</v>
      </c>
      <c r="BR17" s="1069" t="s">
        <v>1319</v>
      </c>
      <c r="BS17" s="1430"/>
      <c r="BU17" s="1069" t="s">
        <v>1531</v>
      </c>
      <c r="BV17" s="1072"/>
      <c r="BW17" s="1691"/>
      <c r="BX17" s="1693" t="s">
        <v>1532</v>
      </c>
      <c r="CA17" s="1069" t="s">
        <v>1533</v>
      </c>
      <c r="CD17" s="1069" t="s">
        <v>1534</v>
      </c>
    </row>
    <row customHeight="1" ht="21">
      <c r="A18" s="1076" t="s">
        <v>1535</v>
      </c>
      <c r="B18" s="1077">
        <v>2016</v>
      </c>
      <c r="E18" s="2004" t="s">
        <v>1536</v>
      </c>
      <c r="I18" s="1078" t="s">
        <v>1537</v>
      </c>
      <c r="N18" s="1160" t="s">
        <v>1538</v>
      </c>
      <c r="X18" s="1089"/>
      <c r="AW18" s="1122" t="s">
        <v>1525</v>
      </c>
      <c r="AX18" s="1122" t="s">
        <v>1525</v>
      </c>
      <c r="BB18" s="1122" t="s">
        <v>1539</v>
      </c>
      <c r="BC18" s="1122" t="s">
        <v>1378</v>
      </c>
      <c r="BE18" s="1122">
        <v>2014</v>
      </c>
      <c r="BH18" s="1070" t="s">
        <v>1479</v>
      </c>
      <c r="BJ18" s="1219" t="s">
        <v>1540</v>
      </c>
      <c r="BL18" s="1219" t="s">
        <v>1540</v>
      </c>
      <c r="BN18" s="1070" t="s">
        <v>1541</v>
      </c>
      <c r="BQ18" s="1434" t="s">
        <v>1349</v>
      </c>
      <c r="BR18" s="1161" t="s">
        <v>1350</v>
      </c>
      <c r="BS18" s="276"/>
      <c r="BT18" s="1434" t="s">
        <v>1542</v>
      </c>
      <c r="BU18" s="1161" t="s">
        <v>1543</v>
      </c>
      <c r="BV18" s="1072"/>
      <c r="BW18" s="1698" t="s">
        <v>1544</v>
      </c>
      <c r="BX18" s="1692" t="s">
        <v>1545</v>
      </c>
      <c r="BZ18" s="1434" t="s">
        <v>1546</v>
      </c>
      <c r="CA18" s="1161" t="s">
        <v>1547</v>
      </c>
      <c r="CC18" s="1434" t="s">
        <v>1548</v>
      </c>
      <c r="CD18" s="1161" t="s">
        <v>1549</v>
      </c>
    </row>
    <row customHeight="1" ht="21">
      <c r="A19" s="1869" t="s">
        <v>1550</v>
      </c>
      <c r="B19" s="1077">
        <v>2017</v>
      </c>
      <c r="E19" s="1076" t="s">
        <v>162</v>
      </c>
      <c r="I19" s="1078" t="s">
        <v>1551</v>
      </c>
      <c r="N19" s="1160" t="s">
        <v>1552</v>
      </c>
      <c r="X19" s="1089"/>
      <c r="AW19" s="1122" t="s">
        <v>1537</v>
      </c>
      <c r="AX19" s="1122" t="s">
        <v>1537</v>
      </c>
      <c r="AZ19" s="1069" t="s">
        <v>1553</v>
      </c>
      <c r="BB19" s="1122" t="s">
        <v>1554</v>
      </c>
      <c r="BC19" s="1122" t="s">
        <v>1378</v>
      </c>
      <c r="BE19" s="1122">
        <v>2015</v>
      </c>
      <c r="BH19" s="1070" t="s">
        <v>1555</v>
      </c>
      <c r="BJ19" s="1219" t="s">
        <v>1556</v>
      </c>
      <c r="BL19" s="1219" t="s">
        <v>1556</v>
      </c>
      <c r="BQ19" s="1283">
        <v>4190064</v>
      </c>
      <c r="BR19" s="1070" t="s">
        <v>1557</v>
      </c>
      <c r="BS19" s="1431"/>
      <c r="BT19" s="1283">
        <v>4189671</v>
      </c>
      <c r="BU19" s="1070" t="s">
        <v>1558</v>
      </c>
      <c r="BV19" s="1072"/>
      <c r="BW19" s="1696">
        <v>4189706</v>
      </c>
      <c r="BX19" s="1694" t="s">
        <v>1559</v>
      </c>
      <c r="BZ19" s="1283">
        <v>4189714</v>
      </c>
      <c r="CA19" s="1070" t="s">
        <v>1560</v>
      </c>
      <c r="CC19" s="1283">
        <v>4189708</v>
      </c>
      <c r="CD19" s="1070" t="s">
        <v>1561</v>
      </c>
    </row>
    <row customHeight="1" ht="21">
      <c r="A20" s="1076" t="s">
        <v>1562</v>
      </c>
      <c r="B20" s="1077">
        <v>2018</v>
      </c>
      <c r="E20" s="1076" t="s">
        <v>1308</v>
      </c>
      <c r="I20" s="1078" t="s">
        <v>1563</v>
      </c>
      <c r="N20" s="1160" t="s">
        <v>1564</v>
      </c>
      <c r="AW20" s="1122" t="s">
        <v>1551</v>
      </c>
      <c r="AX20" s="1122" t="s">
        <v>1551</v>
      </c>
      <c r="AZ20" s="1122" t="s">
        <v>1565</v>
      </c>
      <c r="BB20" s="1122" t="s">
        <v>1566</v>
      </c>
      <c r="BC20" s="1122" t="s">
        <v>1495</v>
      </c>
      <c r="BE20" s="1122">
        <v>2016</v>
      </c>
      <c r="BH20" s="1070" t="s">
        <v>1491</v>
      </c>
      <c r="BJ20" s="1070" t="s">
        <v>1418</v>
      </c>
      <c r="BL20" s="1070" t="s">
        <v>1418</v>
      </c>
      <c r="BQ20" s="1283">
        <v>4190065</v>
      </c>
      <c r="BR20" s="1070" t="s">
        <v>1567</v>
      </c>
      <c r="BS20" s="1431"/>
      <c r="BT20" s="1283">
        <v>4189672</v>
      </c>
      <c r="BU20" s="1070" t="s">
        <v>1568</v>
      </c>
      <c r="BV20" s="1072"/>
      <c r="BW20" s="1696">
        <v>4189705</v>
      </c>
      <c r="BX20" s="1694" t="s">
        <v>1569</v>
      </c>
      <c r="BZ20" s="1283">
        <v>4189713</v>
      </c>
      <c r="CA20" s="1070" t="s">
        <v>1569</v>
      </c>
      <c r="CC20" s="1283">
        <v>4189709</v>
      </c>
      <c r="CD20" s="1070" t="s">
        <v>1570</v>
      </c>
    </row>
    <row customHeight="1" ht="21">
      <c r="A21" s="1076" t="s">
        <v>1571</v>
      </c>
      <c r="B21" s="1077">
        <v>2019</v>
      </c>
      <c r="I21" s="1078" t="s">
        <v>1572</v>
      </c>
      <c r="N21" s="1160" t="s">
        <v>1573</v>
      </c>
      <c r="AW21" s="1122" t="s">
        <v>1563</v>
      </c>
      <c r="AX21" s="1122" t="s">
        <v>1563</v>
      </c>
      <c r="AZ21" s="1122" t="s">
        <v>1574</v>
      </c>
      <c r="BB21" s="1122" t="s">
        <v>1575</v>
      </c>
      <c r="BC21" s="1122" t="s">
        <v>1378</v>
      </c>
      <c r="BE21" s="1122">
        <v>2017</v>
      </c>
      <c r="BH21" s="1070" t="s">
        <v>1498</v>
      </c>
      <c r="BJ21" s="1070" t="s">
        <v>1433</v>
      </c>
      <c r="BL21" s="1070" t="s">
        <v>1433</v>
      </c>
      <c r="BQ21" s="1283">
        <v>4190066</v>
      </c>
      <c r="BR21" s="1070" t="s">
        <v>1576</v>
      </c>
      <c r="BS21" s="1431"/>
      <c r="BT21" s="1283">
        <v>4189673</v>
      </c>
      <c r="BU21" s="1070" t="s">
        <v>1577</v>
      </c>
      <c r="BV21" s="1072"/>
      <c r="BW21" s="1696">
        <v>4189707</v>
      </c>
      <c r="BX21" s="1694" t="s">
        <v>1578</v>
      </c>
      <c r="BZ21" s="1283">
        <v>4189712</v>
      </c>
      <c r="CA21" s="1070" t="s">
        <v>1579</v>
      </c>
      <c r="CC21" s="1283">
        <v>4189710</v>
      </c>
      <c r="CD21" s="1070" t="s">
        <v>1580</v>
      </c>
    </row>
    <row customHeight="1" ht="21">
      <c r="A22" s="1076" t="s">
        <v>1581</v>
      </c>
      <c r="B22" s="1077">
        <v>2020</v>
      </c>
      <c r="N22" s="1160" t="s">
        <v>1582</v>
      </c>
      <c r="AW22" s="1122" t="s">
        <v>1572</v>
      </c>
      <c r="AX22" s="1122" t="s">
        <v>1572</v>
      </c>
      <c r="AZ22" s="1122" t="s">
        <v>1583</v>
      </c>
      <c r="BB22" s="1122" t="s">
        <v>1584</v>
      </c>
      <c r="BC22" s="1122" t="s">
        <v>1378</v>
      </c>
      <c r="BE22" s="1122">
        <v>2018</v>
      </c>
      <c r="BH22" s="1070" t="s">
        <v>1506</v>
      </c>
      <c r="BJ22" s="1070" t="s">
        <v>1449</v>
      </c>
      <c r="BL22" s="1070" t="s">
        <v>1449</v>
      </c>
      <c r="BQ22" s="1283">
        <v>4190067</v>
      </c>
      <c r="BR22" s="1070" t="s">
        <v>1585</v>
      </c>
      <c r="BS22" s="1431"/>
      <c r="BT22" s="1283">
        <v>4189674</v>
      </c>
      <c r="BU22" s="1070" t="s">
        <v>1586</v>
      </c>
      <c r="BV22" s="1072"/>
      <c r="BW22" s="1072"/>
      <c r="CC22" s="1283">
        <v>4189711</v>
      </c>
      <c r="CD22" s="1070" t="s">
        <v>288</v>
      </c>
    </row>
    <row customHeight="1" ht="21">
      <c r="A23" s="1076" t="s">
        <v>1587</v>
      </c>
      <c r="B23" s="1077">
        <v>2021</v>
      </c>
      <c r="AW23" s="1122" t="s">
        <v>1588</v>
      </c>
      <c r="AX23" s="1122" t="s">
        <v>1588</v>
      </c>
      <c r="AZ23" s="1122" t="s">
        <v>1589</v>
      </c>
      <c r="BB23" s="1122" t="s">
        <v>1590</v>
      </c>
      <c r="BC23" s="1122" t="s">
        <v>1286</v>
      </c>
      <c r="BE23" s="1122">
        <v>2019</v>
      </c>
      <c r="BH23" s="1070" t="s">
        <v>1514</v>
      </c>
      <c r="BJ23" s="1070" t="s">
        <v>1464</v>
      </c>
      <c r="BL23" s="1070" t="s">
        <v>1464</v>
      </c>
      <c r="BQ23" s="1283">
        <v>4190068</v>
      </c>
      <c r="BR23" s="1070" t="s">
        <v>1591</v>
      </c>
      <c r="BS23" s="1431"/>
      <c r="BT23" s="1283">
        <v>4189675</v>
      </c>
      <c r="BU23" s="1070" t="s">
        <v>1592</v>
      </c>
      <c r="BV23" s="1072"/>
      <c r="BW23" s="1072"/>
      <c r="CC23" s="1283">
        <v>5110778</v>
      </c>
      <c r="CD23" s="1070" t="s">
        <v>1593</v>
      </c>
    </row>
    <row customHeight="1" ht="21">
      <c r="A24" s="1076" t="s">
        <v>1594</v>
      </c>
      <c r="B24" s="1077">
        <v>2022</v>
      </c>
      <c r="AW24" s="1122" t="s">
        <v>1595</v>
      </c>
      <c r="AX24" s="1122" t="s">
        <v>1595</v>
      </c>
      <c r="AZ24" s="1122" t="s">
        <v>1596</v>
      </c>
      <c r="BB24" s="1122" t="s">
        <v>1597</v>
      </c>
      <c r="BC24" s="1122" t="s">
        <v>1598</v>
      </c>
      <c r="BE24" s="1122">
        <v>2020</v>
      </c>
      <c r="BH24" s="1070" t="s">
        <v>1523</v>
      </c>
      <c r="BJ24" s="1070" t="s">
        <v>1479</v>
      </c>
      <c r="BL24" s="1070" t="s">
        <v>1479</v>
      </c>
      <c r="BQ24" s="1283">
        <v>4190069</v>
      </c>
      <c r="BR24" s="1070" t="s">
        <v>1599</v>
      </c>
      <c r="BS24" s="1431"/>
      <c r="BT24" s="1283">
        <v>4189676</v>
      </c>
      <c r="BU24" s="1070" t="s">
        <v>1600</v>
      </c>
      <c r="BV24" s="1072"/>
      <c r="BW24" s="1072"/>
      <c r="CC24" s="1283">
        <v>25575374</v>
      </c>
      <c r="CD24" s="1070" t="s">
        <v>1601</v>
      </c>
    </row>
    <row customHeight="1" ht="11.25">
      <c r="A25" s="1076" t="s">
        <v>1602</v>
      </c>
      <c r="B25" s="1077">
        <v>2023</v>
      </c>
      <c r="AW25" s="1122" t="s">
        <v>1603</v>
      </c>
      <c r="AX25" s="1122" t="s">
        <v>1603</v>
      </c>
      <c r="AZ25" s="1122" t="s">
        <v>996</v>
      </c>
      <c r="BB25" s="1122" t="s">
        <v>1604</v>
      </c>
      <c r="BC25" s="1122" t="s">
        <v>1598</v>
      </c>
      <c r="BE25" s="1122">
        <v>2021</v>
      </c>
      <c r="BH25" s="1070" t="s">
        <v>1530</v>
      </c>
      <c r="BJ25" s="1070" t="s">
        <v>1555</v>
      </c>
      <c r="BL25" s="1070" t="s">
        <v>1555</v>
      </c>
      <c r="BQ25" s="1283">
        <v>4190070</v>
      </c>
      <c r="BR25" s="1070" t="s">
        <v>1605</v>
      </c>
      <c r="BS25" s="1431"/>
      <c r="BT25" s="1283">
        <v>4189677</v>
      </c>
      <c r="BU25" s="1070" t="s">
        <v>1606</v>
      </c>
      <c r="BV25" s="1072"/>
      <c r="BW25" s="1072"/>
    </row>
    <row customHeight="1" ht="11.25">
      <c r="A26" s="1076" t="s">
        <v>1607</v>
      </c>
      <c r="B26" s="1077">
        <v>2024</v>
      </c>
      <c r="J26" s="1732" t="s">
        <v>1608</v>
      </c>
      <c r="AX26" s="1122" t="s">
        <v>1609</v>
      </c>
      <c r="AZ26" s="1122" t="s">
        <v>1472</v>
      </c>
      <c r="BB26" s="1122" t="s">
        <v>1610</v>
      </c>
      <c r="BC26" s="1122" t="s">
        <v>1598</v>
      </c>
      <c r="BE26" s="1122">
        <v>2022</v>
      </c>
      <c r="BH26" s="1070" t="s">
        <v>1541</v>
      </c>
      <c r="BJ26" s="1070" t="s">
        <v>1491</v>
      </c>
      <c r="BL26" s="1070" t="s">
        <v>1491</v>
      </c>
      <c r="BQ26" s="1283">
        <v>4190071</v>
      </c>
      <c r="BR26" s="1070" t="s">
        <v>1611</v>
      </c>
      <c r="BS26" s="1431"/>
      <c r="BV26" s="1072"/>
      <c r="BW26" s="1072"/>
    </row>
    <row customHeight="1" ht="11.25">
      <c r="A27" s="1076" t="s">
        <v>1612</v>
      </c>
      <c r="B27" s="1077">
        <v>2025</v>
      </c>
      <c r="J27" s="178" t="s">
        <v>682</v>
      </c>
      <c r="AX27" s="1122" t="s">
        <v>1613</v>
      </c>
      <c r="BB27" s="1122" t="s">
        <v>1614</v>
      </c>
      <c r="BC27" s="1122" t="s">
        <v>1598</v>
      </c>
      <c r="BE27" s="1122">
        <v>2023</v>
      </c>
      <c r="BH27" s="1072" t="s">
        <v>22</v>
      </c>
      <c r="BJ27" s="1070" t="s">
        <v>1498</v>
      </c>
      <c r="BL27" s="1070" t="s">
        <v>1498</v>
      </c>
      <c r="BN27" s="1072" t="s">
        <v>22</v>
      </c>
      <c r="BQ27" s="1283">
        <v>4190072</v>
      </c>
      <c r="BR27" s="1070" t="s">
        <v>1615</v>
      </c>
      <c r="BS27" s="1431"/>
      <c r="BV27" s="1072"/>
      <c r="BW27" s="1072"/>
    </row>
    <row customHeight="1" ht="11.25">
      <c r="A28" s="1076" t="s">
        <v>1616</v>
      </c>
      <c r="D28" s="1103"/>
      <c r="E28" s="1104"/>
      <c r="F28" s="1104"/>
      <c r="H28" s="1105" t="s">
        <v>1617</v>
      </c>
      <c r="AX28" s="1122" t="s">
        <v>1618</v>
      </c>
      <c r="AZ28" s="1069" t="s">
        <v>1619</v>
      </c>
      <c r="BB28" s="1122" t="s">
        <v>1620</v>
      </c>
      <c r="BC28" s="1122" t="s">
        <v>1621</v>
      </c>
      <c r="BE28" s="1122">
        <v>2024</v>
      </c>
      <c r="BH28" s="1072" t="s">
        <v>22</v>
      </c>
      <c r="BJ28" s="1070" t="s">
        <v>1506</v>
      </c>
      <c r="BL28" s="1070" t="s">
        <v>1506</v>
      </c>
      <c r="BN28" s="1072" t="s">
        <v>22</v>
      </c>
      <c r="BQ28" s="1283">
        <v>4190073</v>
      </c>
      <c r="BR28" s="1070" t="s">
        <v>1622</v>
      </c>
      <c r="BS28" s="1431"/>
      <c r="BV28" s="1072"/>
      <c r="BW28" s="1072"/>
    </row>
    <row customHeight="1" ht="11.25">
      <c r="A29" s="1076" t="s">
        <v>1623</v>
      </c>
      <c r="D29" s="1106" t="s">
        <v>1624</v>
      </c>
      <c r="E29" s="1107" t="str">
        <f>IF(TEMPLATE_GROUP="","",INDEX(StartDateList,MATCH(TEMPLATE_GROUP,CodeTemplateList,0),1))</f>
        <v>01.01.2026</v>
      </c>
      <c r="F29" s="1107" t="str">
        <f>IF(TEMPLATE_GROUP="","",INDEX(EndDateList,MATCH(TEMPLATE_GROUP,CodeTemplateList,0),1))</f>
        <v>31.12.2026</v>
      </c>
      <c r="H29" s="1108" t="s">
        <v>1625</v>
      </c>
      <c r="AX29" s="1122" t="s">
        <v>1626</v>
      </c>
      <c r="AZ29" s="1122" t="s">
        <v>1270</v>
      </c>
      <c r="BB29" s="1122" t="s">
        <v>1472</v>
      </c>
      <c r="BC29" s="1093"/>
      <c r="BE29" s="1122">
        <v>2025</v>
      </c>
      <c r="BJ29" s="1070" t="s">
        <v>1514</v>
      </c>
      <c r="BL29" s="1070" t="s">
        <v>1514</v>
      </c>
    </row>
    <row customHeight="1" ht="11.25">
      <c r="A30" s="1076" t="s">
        <v>1627</v>
      </c>
      <c r="D30" s="1109"/>
      <c r="E30" s="1110"/>
      <c r="F30" s="1110"/>
      <c r="AX30" s="1122" t="s">
        <v>1628</v>
      </c>
      <c r="AZ30" s="1122" t="s">
        <v>1297</v>
      </c>
      <c r="BE30" s="1122">
        <v>2026</v>
      </c>
      <c r="BJ30" s="1070" t="s">
        <v>1629</v>
      </c>
      <c r="BL30" s="1070" t="s">
        <v>1629</v>
      </c>
    </row>
    <row customHeight="1" ht="12.75">
      <c r="A31" s="1076" t="s">
        <v>1630</v>
      </c>
      <c r="D31" s="1103"/>
      <c r="E31" s="1104"/>
      <c r="F31" s="1104"/>
      <c r="H31" s="1111"/>
      <c r="AX31" s="1122" t="s">
        <v>1631</v>
      </c>
      <c r="AZ31" s="1122" t="s">
        <v>1632</v>
      </c>
      <c r="BE31" s="1122">
        <v>2027</v>
      </c>
      <c r="BJ31" s="1070" t="s">
        <v>1633</v>
      </c>
      <c r="BL31" s="1070" t="s">
        <v>1633</v>
      </c>
    </row>
    <row customHeight="1" ht="11.25">
      <c r="A32" s="1076" t="s">
        <v>1634</v>
      </c>
      <c r="D32" s="1106" t="s">
        <v>1635</v>
      </c>
      <c r="E32" s="1107" t="str">
        <f>IF(TEMPLATE_GROUP="","",INDEX(StartDateList,MATCH(TEMPLATE_GROUP,CodeTemplateList,0),1))</f>
        <v>01.01.2026</v>
      </c>
      <c r="F32" s="1107" t="str">
        <f>IF(TEMPLATE_GROUP="","",INDEX(EndDateList,MATCH(TEMPLATE_GROUP,CodeTemplateList,0),1))</f>
        <v>31.12.2026</v>
      </c>
      <c r="H32" s="1112" t="s">
        <v>1636</v>
      </c>
      <c r="O32" s="1076" t="s">
        <v>1267</v>
      </c>
      <c r="AX32" s="1122" t="s">
        <v>1637</v>
      </c>
      <c r="AZ32" s="1122" t="s">
        <v>1366</v>
      </c>
      <c r="BE32" s="1122">
        <v>2028</v>
      </c>
      <c r="BJ32" s="1070" t="s">
        <v>1523</v>
      </c>
      <c r="BL32" s="1070" t="s">
        <v>1523</v>
      </c>
    </row>
    <row customHeight="1" ht="11.25">
      <c r="A33" s="1076" t="s">
        <v>1638</v>
      </c>
      <c r="O33" s="1076" t="s">
        <v>1295</v>
      </c>
      <c r="AX33" s="1122" t="s">
        <v>1639</v>
      </c>
      <c r="AZ33" s="1122" t="s">
        <v>1269</v>
      </c>
      <c r="BE33" s="1122">
        <v>2029</v>
      </c>
      <c r="BJ33" s="1070" t="s">
        <v>1530</v>
      </c>
      <c r="BL33" s="1070" t="s">
        <v>1530</v>
      </c>
    </row>
    <row customHeight="1" ht="11.25">
      <c r="A34" s="1076" t="s">
        <v>1640</v>
      </c>
      <c r="O34" s="1076" t="s">
        <v>1330</v>
      </c>
      <c r="AX34" s="1122" t="s">
        <v>1641</v>
      </c>
      <c r="BE34" s="1122">
        <v>2030</v>
      </c>
      <c r="BJ34" s="1070" t="s">
        <v>1541</v>
      </c>
      <c r="BL34" s="1070" t="s">
        <v>1541</v>
      </c>
    </row>
    <row customHeight="1" ht="11.25">
      <c r="A35" s="1076" t="s">
        <v>1642</v>
      </c>
      <c r="O35" s="1076" t="s">
        <v>1364</v>
      </c>
      <c r="AX35" s="1122" t="s">
        <v>1643</v>
      </c>
      <c r="AZ35" s="1069" t="s">
        <v>1644</v>
      </c>
      <c r="BE35" s="1122">
        <v>2031</v>
      </c>
      <c r="BL35" s="1070" t="s">
        <v>1645</v>
      </c>
    </row>
    <row customHeight="1" ht="11.25">
      <c r="A36" s="1869" t="s">
        <v>1646</v>
      </c>
      <c r="D36" s="1113" t="s">
        <v>1647</v>
      </c>
      <c r="E36" s="1114" t="s">
        <v>865</v>
      </c>
      <c r="F36" s="1115" t="str">
        <f>INDEX(E37:E41,MATCH(TEMPLATE_SPHERE,F37:F41,0))</f>
        <v>холодного водоснабжения</v>
      </c>
      <c r="G36" s="1115" t="str">
        <f>INDEX(G37:G41,MATCH(TEMPLATE_SPHERE,F37:F41,0))</f>
        <v>холодное водоснабжение</v>
      </c>
      <c r="O36" s="1076" t="s">
        <v>1389</v>
      </c>
      <c r="AX36" s="1122" t="s">
        <v>1648</v>
      </c>
      <c r="AZ36" s="1122" t="s">
        <v>1269</v>
      </c>
      <c r="BE36" s="1122">
        <v>2032</v>
      </c>
      <c r="BL36" s="1070" t="s">
        <v>1649</v>
      </c>
    </row>
    <row customHeight="1" ht="11.25">
      <c r="A37" s="1076" t="s">
        <v>1650</v>
      </c>
      <c r="E37" s="409" t="s">
        <v>1651</v>
      </c>
      <c r="F37" s="1116" t="s">
        <v>819</v>
      </c>
      <c r="G37" s="409" t="s">
        <v>1652</v>
      </c>
      <c r="O37" s="1076" t="s">
        <v>1408</v>
      </c>
      <c r="AX37" s="1122" t="s">
        <v>1653</v>
      </c>
      <c r="AZ37" s="1122" t="s">
        <v>1296</v>
      </c>
      <c r="BE37" s="1122">
        <v>2033</v>
      </c>
    </row>
    <row customHeight="1" ht="11.25">
      <c r="A38" s="1076" t="s">
        <v>1654</v>
      </c>
      <c r="E38" s="409" t="s">
        <v>1655</v>
      </c>
      <c r="F38" s="1117" t="s">
        <v>865</v>
      </c>
      <c r="G38" s="409" t="s">
        <v>1656</v>
      </c>
      <c r="O38" s="1076" t="s">
        <v>1425</v>
      </c>
      <c r="AX38" s="1122" t="s">
        <v>1657</v>
      </c>
      <c r="AZ38" s="1122" t="s">
        <v>1331</v>
      </c>
      <c r="BE38" s="1122">
        <v>2034</v>
      </c>
      <c r="BH38" s="1069" t="s">
        <v>1658</v>
      </c>
      <c r="BJ38" s="1069" t="s">
        <v>1659</v>
      </c>
      <c r="BL38" s="1069" t="s">
        <v>1660</v>
      </c>
      <c r="BN38" s="1069" t="s">
        <v>1661</v>
      </c>
    </row>
    <row customHeight="1" ht="11.25">
      <c r="A39" s="1076" t="s">
        <v>1662</v>
      </c>
      <c r="E39" s="409" t="s">
        <v>1663</v>
      </c>
      <c r="F39" s="1117" t="s">
        <v>918</v>
      </c>
      <c r="G39" s="409" t="s">
        <v>1664</v>
      </c>
      <c r="O39" s="1076" t="s">
        <v>1441</v>
      </c>
      <c r="AX39" s="1122" t="s">
        <v>1665</v>
      </c>
      <c r="AZ39" s="1122" t="s">
        <v>1365</v>
      </c>
      <c r="BE39" s="1122">
        <v>2035</v>
      </c>
      <c r="BH39" s="1070" t="s">
        <v>1666</v>
      </c>
      <c r="BJ39" s="1219" t="s">
        <v>1666</v>
      </c>
      <c r="BL39" s="1219" t="s">
        <v>1666</v>
      </c>
      <c r="BN39" s="1070" t="s">
        <v>1667</v>
      </c>
    </row>
    <row customHeight="1" ht="11.25">
      <c r="A40" s="1076" t="s">
        <v>1668</v>
      </c>
      <c r="E40" s="409" t="s">
        <v>1669</v>
      </c>
      <c r="F40" s="1117" t="s">
        <v>905</v>
      </c>
      <c r="G40" s="409" t="s">
        <v>1670</v>
      </c>
      <c r="O40" s="1076" t="s">
        <v>1457</v>
      </c>
      <c r="AX40" s="1122" t="s">
        <v>1671</v>
      </c>
      <c r="BE40" s="1122">
        <v>2036</v>
      </c>
      <c r="BH40" s="1070" t="s">
        <v>1672</v>
      </c>
      <c r="BJ40" s="1219" t="s">
        <v>1075</v>
      </c>
      <c r="BL40" s="1219" t="s">
        <v>1075</v>
      </c>
      <c r="BN40" s="1070" t="s">
        <v>1109</v>
      </c>
    </row>
    <row customHeight="1" ht="11.25">
      <c r="A41" s="1076" t="s">
        <v>1673</v>
      </c>
      <c r="E41" s="409" t="s">
        <v>1674</v>
      </c>
      <c r="F41" s="1117" t="s">
        <v>1675</v>
      </c>
      <c r="G41" s="409" t="s">
        <v>1674</v>
      </c>
      <c r="O41" s="1076" t="s">
        <v>1472</v>
      </c>
      <c r="AX41" s="1122" t="s">
        <v>1676</v>
      </c>
      <c r="AZ41" s="1069" t="s">
        <v>1677</v>
      </c>
      <c r="BE41" s="1122">
        <v>2037</v>
      </c>
      <c r="BH41" s="1070" t="s">
        <v>1678</v>
      </c>
      <c r="BJ41" s="1219" t="s">
        <v>1071</v>
      </c>
      <c r="BL41" s="1219" t="s">
        <v>1071</v>
      </c>
      <c r="BN41" s="1070" t="s">
        <v>1096</v>
      </c>
    </row>
    <row customHeight="1" ht="11.25">
      <c r="A42" s="1076" t="s">
        <v>1679</v>
      </c>
      <c r="AX42" s="1122" t="s">
        <v>1680</v>
      </c>
      <c r="AZ42" s="1122" t="s">
        <v>1267</v>
      </c>
      <c r="BE42" s="1122">
        <v>2038</v>
      </c>
      <c r="BH42" s="1070" t="s">
        <v>1093</v>
      </c>
      <c r="BJ42" s="1219" t="s">
        <v>1073</v>
      </c>
      <c r="BL42" s="1219" t="s">
        <v>1073</v>
      </c>
      <c r="BN42" s="1070" t="s">
        <v>1681</v>
      </c>
    </row>
    <row customHeight="1" ht="11.25">
      <c r="A43" s="1076" t="s">
        <v>1682</v>
      </c>
      <c r="AX43" s="1122" t="s">
        <v>1683</v>
      </c>
      <c r="AZ43" s="1122" t="s">
        <v>1295</v>
      </c>
      <c r="BE43" s="1122">
        <v>2039</v>
      </c>
      <c r="BH43" s="1070" t="s">
        <v>1684</v>
      </c>
      <c r="BJ43" s="1219" t="s">
        <v>1678</v>
      </c>
      <c r="BL43" s="1219" t="s">
        <v>1678</v>
      </c>
      <c r="BN43" s="1070" t="s">
        <v>1685</v>
      </c>
    </row>
    <row customHeight="1" ht="11.25">
      <c r="A44" s="1076" t="s">
        <v>1686</v>
      </c>
      <c r="G44" s="1096">
        <f>YEAR(TODAY())</f>
        <v>2026</v>
      </c>
      <c r="I44" s="801" t="s">
        <v>1687</v>
      </c>
      <c r="J44" s="1091" t="s">
        <v>1688</v>
      </c>
      <c r="K44" s="1091" t="s">
        <v>1689</v>
      </c>
      <c r="AX44" s="1122" t="s">
        <v>1690</v>
      </c>
      <c r="AZ44" s="1122" t="s">
        <v>1330</v>
      </c>
      <c r="BE44" s="1122">
        <v>2040</v>
      </c>
      <c r="BH44" s="1070" t="s">
        <v>1691</v>
      </c>
      <c r="BJ44" s="1219" t="s">
        <v>1093</v>
      </c>
      <c r="BL44" s="1219" t="s">
        <v>1093</v>
      </c>
      <c r="BN44" s="1070" t="s">
        <v>1692</v>
      </c>
    </row>
    <row customHeight="1" ht="11.25">
      <c r="A45" s="1076" t="s">
        <v>1693</v>
      </c>
      <c r="D45" s="1113" t="s">
        <v>1694</v>
      </c>
      <c r="E45" s="1114" t="s">
        <v>1067</v>
      </c>
      <c r="F45" s="799" t="s">
        <v>1695</v>
      </c>
      <c r="G45" s="798" t="s">
        <v>1696</v>
      </c>
      <c r="H45" s="801" t="s">
        <v>1697</v>
      </c>
      <c r="I45" s="1742">
        <f>INDEX(PeriodIsEmptyList,MATCH(TEMPLATE_GROUP,CodeTemplateList,0),1)</f>
        <v>0</v>
      </c>
      <c r="J45" s="1745" t="str">
        <f>INDEX(NameTemplatesInTitleList,MATCH(TEMPLATE_GROUP,CodeTemplateList,0),1)</f>
        <v>Информация об инвестиционных программах регулируемой организации в области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2" t="s">
        <v>1698</v>
      </c>
      <c r="AZ45" s="1122" t="s">
        <v>1364</v>
      </c>
      <c r="BE45" s="1122">
        <v>2041</v>
      </c>
      <c r="BH45" s="1070" t="s">
        <v>1699</v>
      </c>
      <c r="BJ45" s="1219" t="s">
        <v>1087</v>
      </c>
      <c r="BL45" s="1219" t="s">
        <v>1087</v>
      </c>
      <c r="BN45" s="1070" t="s">
        <v>1700</v>
      </c>
    </row>
    <row customHeight="1" ht="11.25">
      <c r="A46" s="1076" t="s">
        <v>1701</v>
      </c>
      <c r="E46" s="409" t="s">
        <v>27</v>
      </c>
      <c r="F46" s="1116" t="s">
        <v>1702</v>
      </c>
      <c r="G46" s="1118" t="str">
        <f>_xlfn.IFERROR(IF(TITLE_DATE_FIL="","01.01."&amp;CURRENT_YEAR,"01.01."&amp;YEAR(TITLE_DATE_FIL)),"01.01."&amp;CURRENT_YEAR)</f>
        <v>01.01.2026</v>
      </c>
      <c r="H46" s="1118"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2" t="s">
        <v>1703</v>
      </c>
      <c r="AZ46" s="1122" t="s">
        <v>1389</v>
      </c>
      <c r="BE46" s="1122">
        <v>2042</v>
      </c>
      <c r="BH46" s="1070" t="s">
        <v>1096</v>
      </c>
      <c r="BJ46" s="1219" t="s">
        <v>1077</v>
      </c>
      <c r="BL46" s="1219" t="s">
        <v>1077</v>
      </c>
      <c r="BN46" s="1070" t="s">
        <v>1704</v>
      </c>
    </row>
    <row customHeight="1" ht="11.25">
      <c r="A47" s="1076" t="s">
        <v>1705</v>
      </c>
      <c r="E47" s="409" t="s">
        <v>33</v>
      </c>
      <c r="F47" s="1117" t="s">
        <v>1706</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2" t="s">
        <v>1707</v>
      </c>
      <c r="AZ47" s="1122" t="s">
        <v>1408</v>
      </c>
      <c r="BE47" s="1122">
        <v>2043</v>
      </c>
      <c r="BH47" s="1070" t="s">
        <v>1681</v>
      </c>
      <c r="BJ47" s="1219" t="s">
        <v>1079</v>
      </c>
      <c r="BL47" s="1219" t="s">
        <v>1079</v>
      </c>
      <c r="BN47" s="1070" t="s">
        <v>1708</v>
      </c>
    </row>
    <row customHeight="1" ht="11.25">
      <c r="A48" s="1076" t="s">
        <v>1709</v>
      </c>
      <c r="E48" s="409" t="s">
        <v>1710</v>
      </c>
      <c r="F48" s="1117" t="s">
        <v>1711</v>
      </c>
      <c r="G48" s="1118" t="str">
        <f>_xlfn.IFERROR(IF(f_year="","01.01."&amp;CURRENT_YEAR,"01.01."&amp;f_year),"01.01."&amp;CURRENT_YEAR)</f>
        <v>01.01.2026</v>
      </c>
      <c r="H48" s="1118" t="str">
        <f>_xlfn.IFERROR(IF(f_year="","31.12."&amp;CURRENT_YEAR,"31.12."&amp;f_year),"31.12."&amp;CURRENT_YEAR)</f>
        <v>31.12.2026</v>
      </c>
      <c r="I48" s="1743">
        <f>IF(f_year="",TRUE,FALSE)</f>
        <v>0</v>
      </c>
      <c r="J48" s="1746" t="s">
        <v>1712</v>
      </c>
      <c r="K48" s="1747"/>
      <c r="AX48" s="1122" t="s">
        <v>1713</v>
      </c>
      <c r="AZ48" s="1122" t="s">
        <v>1425</v>
      </c>
      <c r="BE48" s="1122">
        <v>2044</v>
      </c>
      <c r="BH48" s="1070" t="s">
        <v>1685</v>
      </c>
      <c r="BJ48" s="1219" t="s">
        <v>1081</v>
      </c>
      <c r="BL48" s="1219" t="s">
        <v>1081</v>
      </c>
      <c r="BN48" s="1070" t="s">
        <v>1714</v>
      </c>
    </row>
    <row customHeight="1" ht="11.25">
      <c r="A49" s="1076" t="s">
        <v>1715</v>
      </c>
      <c r="E49" s="409" t="s">
        <v>1716</v>
      </c>
      <c r="F49" s="1117" t="s">
        <v>1717</v>
      </c>
      <c r="G49" s="1118" t="str">
        <f>_xlfn.IFERROR(IF(f_year="","01.01."&amp;CURRENT_YEAR,"01.01."&amp;f_year),"01.01."&amp;CURRENT_YEAR)</f>
        <v>01.01.2026</v>
      </c>
      <c r="H49" s="1118"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2" t="s">
        <v>1718</v>
      </c>
      <c r="AZ49" s="1122" t="s">
        <v>1441</v>
      </c>
      <c r="BE49" s="1122">
        <v>2045</v>
      </c>
      <c r="BH49" s="1070" t="s">
        <v>1097</v>
      </c>
      <c r="BJ49" s="1219" t="s">
        <v>1083</v>
      </c>
      <c r="BL49" s="1219" t="s">
        <v>1083</v>
      </c>
    </row>
    <row customHeight="1" ht="11.25">
      <c r="A50" s="1076" t="s">
        <v>1719</v>
      </c>
      <c r="E50" s="409" t="s">
        <v>1720</v>
      </c>
      <c r="F50" s="1117" t="s">
        <v>1067</v>
      </c>
      <c r="G50" s="1118" t="str">
        <f>_xlfn.IFERROR(IF(f_year="","01.01."&amp;CURRENT_YEAR,"01.01."&amp;f_year),"01.01."&amp;CURRENT_YEAR)</f>
        <v>01.01.2026</v>
      </c>
      <c r="H50" s="1118"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2" t="s">
        <v>1721</v>
      </c>
      <c r="AZ50" s="1122" t="s">
        <v>1457</v>
      </c>
      <c r="BE50" s="1122">
        <v>2046</v>
      </c>
      <c r="BH50" s="1070" t="s">
        <v>1692</v>
      </c>
      <c r="BJ50" s="1219" t="s">
        <v>1085</v>
      </c>
      <c r="BL50" s="1219" t="s">
        <v>1085</v>
      </c>
    </row>
    <row customHeight="1" ht="11.25">
      <c r="A51" s="1076" t="s">
        <v>1722</v>
      </c>
      <c r="E51" s="409" t="s">
        <v>1723</v>
      </c>
      <c r="F51" s="1117" t="s">
        <v>1724</v>
      </c>
      <c r="G51" s="1118" t="str">
        <f>_xlfn.IFERROR(IF(TITLE_PERIOD_START="","01.01."&amp;CURRENT_YEAR,"01.01."&amp;YEAR(TITLE_PERIOD_START)),"01.01."&amp;CURRENT_YEAR)</f>
        <v>01.01.2026</v>
      </c>
      <c r="H51" s="1118"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2" t="s">
        <v>1725</v>
      </c>
      <c r="AZ51" s="1122" t="s">
        <v>1472</v>
      </c>
      <c r="BE51" s="1122">
        <v>2047</v>
      </c>
      <c r="BH51" s="1070" t="s">
        <v>1700</v>
      </c>
      <c r="BJ51" s="1219" t="s">
        <v>1726</v>
      </c>
      <c r="BL51" s="1219" t="s">
        <v>1726</v>
      </c>
    </row>
    <row customHeight="1" ht="11.25">
      <c r="A52" s="1076" t="s">
        <v>1727</v>
      </c>
      <c r="E52" s="409" t="s">
        <v>1728</v>
      </c>
      <c r="F52" s="1117" t="s">
        <v>1729</v>
      </c>
      <c r="G52" s="1118" t="str">
        <f>_xlfn.IFERROR(IF(TITLE_PERIOD_START="","01.01."&amp;CURRENT_YEAR,"01.01."&amp;YEAR(TITLE_PERIOD_START)),"01.01."&amp;CURRENT_YEAR)</f>
        <v>01.01.2026</v>
      </c>
      <c r="H52" s="1118"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2" t="s">
        <v>1730</v>
      </c>
      <c r="AZ52" s="1122" t="s">
        <v>1269</v>
      </c>
      <c r="BE52" s="1122">
        <v>2048</v>
      </c>
      <c r="BH52" s="1070" t="s">
        <v>1704</v>
      </c>
      <c r="BJ52" s="1219" t="s">
        <v>1096</v>
      </c>
      <c r="BL52" s="1219" t="s">
        <v>1096</v>
      </c>
    </row>
    <row customHeight="1" ht="11.25">
      <c r="A53" s="1076" t="s">
        <v>1731</v>
      </c>
      <c r="E53" s="409" t="s">
        <v>1732</v>
      </c>
      <c r="F53" s="1117" t="s">
        <v>1732</v>
      </c>
      <c r="G53" s="1118" t="str">
        <f>_xlfn.IFERROR(IF(f_year="","01.01."&amp;CURRENT_YEAR,"01.01."&amp;f_year),"01.01."&amp;CURRENT_YEAR)</f>
        <v>01.01.2026</v>
      </c>
      <c r="H53" s="1118" t="str">
        <f>_xlfn.IFERROR(IF(f_year="","31.12."&amp;CURRENT_YEAR,"31.12."&amp;f_year),"31.12."&amp;CURRENT_YEAR)</f>
        <v>31.12.2026</v>
      </c>
      <c r="I53" s="1743">
        <f>IF(AND(f_year="",TITLE_DATE_FIL=""),TRUE,FALSE)</f>
        <v>0</v>
      </c>
      <c r="J53" s="1746" t="s">
        <v>1733</v>
      </c>
      <c r="K53" s="1747"/>
      <c r="AX53" s="1122" t="s">
        <v>1734</v>
      </c>
      <c r="BE53" s="1122">
        <v>2049</v>
      </c>
      <c r="BH53" s="1070" t="s">
        <v>1708</v>
      </c>
      <c r="BJ53" s="1219" t="s">
        <v>1681</v>
      </c>
      <c r="BL53" s="1219" t="s">
        <v>1681</v>
      </c>
    </row>
    <row customHeight="1" ht="11.25">
      <c r="A54" s="1076" t="s">
        <v>1735</v>
      </c>
      <c r="AX54" s="1122" t="s">
        <v>1736</v>
      </c>
      <c r="AZ54" s="1069" t="s">
        <v>1737</v>
      </c>
      <c r="BE54" s="1122">
        <v>2050</v>
      </c>
      <c r="BH54" s="1070" t="s">
        <v>1714</v>
      </c>
      <c r="BJ54" s="1219" t="s">
        <v>1685</v>
      </c>
      <c r="BL54" s="1219" t="s">
        <v>1685</v>
      </c>
    </row>
    <row customHeight="1" ht="11.25">
      <c r="A55" s="1076" t="s">
        <v>1738</v>
      </c>
      <c r="AX55" s="1122" t="s">
        <v>1739</v>
      </c>
      <c r="AZ55" s="1122" t="s">
        <v>1271</v>
      </c>
      <c r="BE55" s="1122">
        <v>2051</v>
      </c>
      <c r="BH55" s="1072" t="s">
        <v>22</v>
      </c>
      <c r="BJ55" s="1219" t="s">
        <v>1097</v>
      </c>
      <c r="BL55" s="1219" t="s">
        <v>1097</v>
      </c>
    </row>
    <row customHeight="1" ht="11.25">
      <c r="A56" s="1076" t="s">
        <v>1740</v>
      </c>
      <c r="D56" s="1120" t="s">
        <v>1741</v>
      </c>
      <c r="E56" s="1097" t="s">
        <v>108</v>
      </c>
      <c r="F56" s="1076" t="s">
        <v>1742</v>
      </c>
      <c r="AX56" s="1122" t="s">
        <v>1743</v>
      </c>
      <c r="AZ56" s="1122" t="s">
        <v>1298</v>
      </c>
      <c r="BE56" s="1122">
        <v>2052</v>
      </c>
      <c r="BH56" s="1072" t="s">
        <v>22</v>
      </c>
      <c r="BJ56" s="1219" t="s">
        <v>1692</v>
      </c>
      <c r="BL56" s="1219" t="s">
        <v>1692</v>
      </c>
    </row>
    <row customHeight="1" ht="11.25">
      <c r="A57" s="1076" t="s">
        <v>1744</v>
      </c>
      <c r="D57" s="1120" t="s">
        <v>1745</v>
      </c>
      <c r="E57" s="1097" t="s">
        <v>108</v>
      </c>
      <c r="F57" s="1076" t="s">
        <v>1742</v>
      </c>
      <c r="AX57" s="1122" t="s">
        <v>1746</v>
      </c>
      <c r="AZ57" s="1122" t="s">
        <v>1333</v>
      </c>
      <c r="BE57" s="1122">
        <v>2053</v>
      </c>
      <c r="BJ57" s="1219" t="s">
        <v>1700</v>
      </c>
      <c r="BL57" s="1219" t="s">
        <v>1700</v>
      </c>
    </row>
    <row customHeight="1" ht="11.25">
      <c r="A58" s="1076" t="s">
        <v>1747</v>
      </c>
      <c r="D58" s="1120" t="s">
        <v>1748</v>
      </c>
      <c r="E58" s="1097" t="s">
        <v>1734</v>
      </c>
      <c r="F58" s="1076" t="s">
        <v>1742</v>
      </c>
      <c r="AX58" s="1122" t="s">
        <v>1749</v>
      </c>
      <c r="BE58" s="1122">
        <v>2054</v>
      </c>
      <c r="BJ58" s="1219" t="s">
        <v>1704</v>
      </c>
      <c r="BL58" s="1219" t="s">
        <v>1704</v>
      </c>
    </row>
    <row customHeight="1" ht="11.25">
      <c r="A59" s="1076" t="s">
        <v>1750</v>
      </c>
      <c r="D59" s="1120" t="s">
        <v>128</v>
      </c>
      <c r="E59" s="1097" t="s">
        <v>1637</v>
      </c>
      <c r="F59" s="1076" t="s">
        <v>1751</v>
      </c>
      <c r="AX59" s="1122" t="s">
        <v>1752</v>
      </c>
      <c r="AZ59" s="1069" t="s">
        <v>1753</v>
      </c>
      <c r="BE59" s="1122">
        <v>2055</v>
      </c>
      <c r="BJ59" s="1219" t="s">
        <v>1708</v>
      </c>
      <c r="BL59" s="1219" t="s">
        <v>1708</v>
      </c>
    </row>
    <row customHeight="1" ht="11.25">
      <c r="A60" s="1076" t="s">
        <v>1754</v>
      </c>
      <c r="D60" s="1120" t="s">
        <v>1755</v>
      </c>
      <c r="E60" s="1097" t="s">
        <v>1637</v>
      </c>
      <c r="F60" s="1076" t="s">
        <v>1751</v>
      </c>
      <c r="AX60" s="1122" t="s">
        <v>1756</v>
      </c>
      <c r="AZ60" s="1122" t="s">
        <v>1272</v>
      </c>
      <c r="BE60" s="1122">
        <v>2056</v>
      </c>
      <c r="BJ60" s="1219" t="s">
        <v>1714</v>
      </c>
      <c r="BL60" s="1219" t="s">
        <v>1714</v>
      </c>
    </row>
    <row customHeight="1" ht="11.25">
      <c r="A61" s="1076" t="s">
        <v>1757</v>
      </c>
      <c r="D61" s="1120" t="s">
        <v>1758</v>
      </c>
      <c r="E61" s="1097" t="s">
        <v>1637</v>
      </c>
      <c r="F61" s="1076" t="s">
        <v>1751</v>
      </c>
      <c r="AX61" s="1122" t="s">
        <v>1759</v>
      </c>
      <c r="AZ61" s="1122" t="s">
        <v>1299</v>
      </c>
      <c r="BE61" s="1122">
        <v>2057</v>
      </c>
      <c r="BL61" s="1219" t="s">
        <v>1089</v>
      </c>
    </row>
    <row customHeight="1" ht="11.25">
      <c r="A62" s="1076" t="s">
        <v>1760</v>
      </c>
      <c r="D62" s="1120" t="s">
        <v>127</v>
      </c>
      <c r="E62" s="1097">
        <v>30</v>
      </c>
      <c r="F62" s="1076" t="s">
        <v>1751</v>
      </c>
      <c r="AZ62" s="1122" t="s">
        <v>1334</v>
      </c>
      <c r="BE62" s="1122">
        <v>2058</v>
      </c>
      <c r="BL62" s="1219" t="s">
        <v>1091</v>
      </c>
    </row>
    <row customHeight="1" ht="11.25">
      <c r="A63" s="1076" t="s">
        <v>1761</v>
      </c>
      <c r="D63" s="1120" t="s">
        <v>1762</v>
      </c>
      <c r="E63" s="1097">
        <v>30</v>
      </c>
      <c r="F63" s="1076" t="s">
        <v>1751</v>
      </c>
      <c r="AZ63" s="1122" t="s">
        <v>1367</v>
      </c>
      <c r="BE63" s="1122">
        <v>2059</v>
      </c>
    </row>
    <row customHeight="1" ht="11.25">
      <c r="A64" s="1076" t="s">
        <v>1763</v>
      </c>
      <c r="D64" s="1120" t="s">
        <v>1764</v>
      </c>
      <c r="E64" s="1097">
        <v>30</v>
      </c>
      <c r="F64" s="1076" t="s">
        <v>1751</v>
      </c>
      <c r="AZ64" s="1122" t="s">
        <v>1390</v>
      </c>
      <c r="BE64" s="1122">
        <v>2060</v>
      </c>
    </row>
    <row customHeight="1" ht="11.25">
      <c r="A65" s="1076" t="s">
        <v>1765</v>
      </c>
      <c r="D65" s="1076"/>
      <c r="BE65" s="1122">
        <v>2061</v>
      </c>
    </row>
    <row customHeight="1" ht="11.25">
      <c r="A66" s="1076" t="s">
        <v>1766</v>
      </c>
      <c r="AZ66" s="1069" t="s">
        <v>1767</v>
      </c>
      <c r="BE66" s="1122">
        <v>2062</v>
      </c>
    </row>
    <row customHeight="1" ht="11.25">
      <c r="A67" s="1076" t="s">
        <v>1768</v>
      </c>
      <c r="AZ67" s="1122" t="s">
        <v>1273</v>
      </c>
      <c r="BE67" s="1122">
        <v>2063</v>
      </c>
    </row>
    <row customHeight="1" ht="11.25">
      <c r="A68" s="1076" t="s">
        <v>1769</v>
      </c>
      <c r="AZ68" s="1122" t="s">
        <v>1300</v>
      </c>
      <c r="BE68" s="1122">
        <v>2064</v>
      </c>
      <c r="BH68" s="1069" t="s">
        <v>1770</v>
      </c>
      <c r="BJ68" s="1069" t="s">
        <v>1771</v>
      </c>
      <c r="BL68" s="1069" t="s">
        <v>1772</v>
      </c>
      <c r="BN68" s="1069" t="s">
        <v>1773</v>
      </c>
    </row>
    <row customHeight="1" ht="11.25">
      <c r="A69" s="1076" t="s">
        <v>1774</v>
      </c>
      <c r="AZ69" s="1122" t="s">
        <v>1335</v>
      </c>
      <c r="BE69" s="1122">
        <v>2065</v>
      </c>
      <c r="BH69" s="1070" t="s">
        <v>1775</v>
      </c>
      <c r="BI69" s="1119" t="s">
        <v>106</v>
      </c>
      <c r="BJ69" s="1070" t="s">
        <v>1776</v>
      </c>
      <c r="BK69" s="1119" t="s">
        <v>106</v>
      </c>
      <c r="BL69" s="1070" t="s">
        <v>1777</v>
      </c>
      <c r="BM69" s="1072" t="s">
        <v>106</v>
      </c>
      <c r="BN69" s="1070" t="s">
        <v>1778</v>
      </c>
    </row>
    <row customHeight="1" ht="11.25">
      <c r="A70" s="1076" t="s">
        <v>1779</v>
      </c>
      <c r="AZ70" s="1122" t="s">
        <v>1368</v>
      </c>
      <c r="BE70" s="1122">
        <v>2066</v>
      </c>
      <c r="BH70" s="1070" t="s">
        <v>1780</v>
      </c>
      <c r="BJ70" s="1070" t="s">
        <v>1781</v>
      </c>
      <c r="BL70" s="1070" t="s">
        <v>1782</v>
      </c>
      <c r="BN70" s="1070" t="s">
        <v>1783</v>
      </c>
    </row>
    <row customHeight="1" ht="11.25">
      <c r="A71" s="1076" t="s">
        <v>1784</v>
      </c>
      <c r="AZ71" s="1122" t="s">
        <v>1370</v>
      </c>
      <c r="BE71" s="1122">
        <v>2067</v>
      </c>
      <c r="BH71" s="1070" t="s">
        <v>1785</v>
      </c>
      <c r="BI71" s="1119" t="s">
        <v>90</v>
      </c>
      <c r="BJ71" s="1070" t="s">
        <v>1786</v>
      </c>
      <c r="BK71" s="1119" t="s">
        <v>90</v>
      </c>
      <c r="BL71" s="1070" t="s">
        <v>1787</v>
      </c>
      <c r="BM71" s="1072" t="s">
        <v>90</v>
      </c>
      <c r="BN71" s="1070" t="s">
        <v>1788</v>
      </c>
    </row>
    <row customHeight="1" ht="11.25">
      <c r="A72" s="1076" t="s">
        <v>16</v>
      </c>
      <c r="AZ72" s="1122" t="s">
        <v>19</v>
      </c>
      <c r="BE72" s="1122">
        <v>2068</v>
      </c>
      <c r="BH72" s="1070" t="s">
        <v>1789</v>
      </c>
      <c r="BJ72" s="1070" t="s">
        <v>1789</v>
      </c>
      <c r="BL72" s="1070" t="s">
        <v>1789</v>
      </c>
      <c r="BN72" s="1070" t="s">
        <v>1790</v>
      </c>
    </row>
    <row customHeight="1" ht="11.25">
      <c r="A73" s="1076" t="s">
        <v>1791</v>
      </c>
      <c r="BE73" s="1122">
        <v>2069</v>
      </c>
      <c r="BH73" s="1070" t="s">
        <v>1792</v>
      </c>
      <c r="BI73" s="1119" t="s">
        <v>108</v>
      </c>
      <c r="BJ73" s="1070" t="s">
        <v>1793</v>
      </c>
      <c r="BK73" s="1119" t="s">
        <v>108</v>
      </c>
      <c r="BL73" s="1070" t="s">
        <v>1794</v>
      </c>
      <c r="BM73" s="1072" t="s">
        <v>108</v>
      </c>
      <c r="BN73" s="1070" t="s">
        <v>1795</v>
      </c>
    </row>
    <row customHeight="1" ht="11.25">
      <c r="A74" s="1076" t="s">
        <v>1796</v>
      </c>
      <c r="BE74" s="1122">
        <v>2070</v>
      </c>
      <c r="BH74" s="1070" t="s">
        <v>1797</v>
      </c>
      <c r="BJ74" s="1070" t="s">
        <v>1798</v>
      </c>
      <c r="BL74" s="1070" t="s">
        <v>1799</v>
      </c>
      <c r="BN74" s="1070" t="s">
        <v>1800</v>
      </c>
    </row>
    <row customHeight="1" ht="11.25">
      <c r="A75" s="1076" t="s">
        <v>1801</v>
      </c>
      <c r="AZ75" s="1069" t="s">
        <v>1802</v>
      </c>
      <c r="BH75" s="1070" t="s">
        <v>1803</v>
      </c>
      <c r="BJ75" s="1070" t="s">
        <v>1803</v>
      </c>
      <c r="BL75" s="1070" t="s">
        <v>1803</v>
      </c>
    </row>
    <row customHeight="1" ht="11.25">
      <c r="A76" s="1076" t="s">
        <v>1804</v>
      </c>
      <c r="AZ76" s="1122" t="s">
        <v>1282</v>
      </c>
      <c r="BH76" s="1070" t="s">
        <v>1805</v>
      </c>
      <c r="BJ76" s="1070" t="s">
        <v>1806</v>
      </c>
      <c r="BL76" s="1070" t="s">
        <v>1807</v>
      </c>
    </row>
    <row customHeight="1" ht="11.25">
      <c r="A77" s="1076" t="s">
        <v>1808</v>
      </c>
      <c r="AZ77" s="1122" t="s">
        <v>1310</v>
      </c>
    </row>
    <row customHeight="1" ht="11.25">
      <c r="A78" s="1076" t="s">
        <v>1809</v>
      </c>
      <c r="AZ78" s="1122" t="s">
        <v>1342</v>
      </c>
    </row>
    <row customHeight="1" ht="11.25">
      <c r="A79" s="1076" t="s">
        <v>1810</v>
      </c>
      <c r="AZ79" s="1122" t="s">
        <v>1374</v>
      </c>
      <c r="BH79" s="1069" t="s">
        <v>1811</v>
      </c>
      <c r="BJ79" s="1069" t="s">
        <v>1812</v>
      </c>
      <c r="BL79" s="1069" t="s">
        <v>1813</v>
      </c>
    </row>
    <row customHeight="1" ht="11.25">
      <c r="A80" s="1076" t="s">
        <v>1814</v>
      </c>
      <c r="AZ80" s="1122" t="s">
        <v>1395</v>
      </c>
      <c r="BH80" s="1070" t="s">
        <v>1815</v>
      </c>
      <c r="BJ80" s="1070" t="s">
        <v>1816</v>
      </c>
      <c r="BL80" s="1070" t="s">
        <v>1817</v>
      </c>
    </row>
    <row customHeight="1" ht="11.25">
      <c r="A81" s="1076" t="s">
        <v>1818</v>
      </c>
      <c r="AZ81" s="1122" t="s">
        <v>1412</v>
      </c>
      <c r="BH81" s="1070" t="s">
        <v>1819</v>
      </c>
      <c r="BJ81" s="1070" t="s">
        <v>1820</v>
      </c>
      <c r="BL81" s="1070" t="s">
        <v>1821</v>
      </c>
    </row>
    <row customHeight="1" ht="11.25">
      <c r="A82" s="1076" t="s">
        <v>1822</v>
      </c>
      <c r="AZ82" s="1122" t="s">
        <v>1427</v>
      </c>
      <c r="BH82" s="1070" t="s">
        <v>1823</v>
      </c>
      <c r="BJ82" s="1070" t="s">
        <v>1824</v>
      </c>
      <c r="BL82" s="1070" t="s">
        <v>1825</v>
      </c>
    </row>
    <row customHeight="1" ht="11.25">
      <c r="A83" s="1076" t="s">
        <v>1826</v>
      </c>
      <c r="BH83" s="1070" t="s">
        <v>1827</v>
      </c>
      <c r="BJ83" s="1070" t="s">
        <v>1828</v>
      </c>
      <c r="BL83" s="1070" t="s">
        <v>1829</v>
      </c>
    </row>
    <row customHeight="1" ht="11.25">
      <c r="A84" s="1076" t="s">
        <v>1830</v>
      </c>
      <c r="AZ84" s="1069" t="s">
        <v>1831</v>
      </c>
    </row>
    <row customHeight="1" ht="11.25">
      <c r="A85" s="1869" t="s">
        <v>1832</v>
      </c>
      <c r="AZ85" s="1122" t="s">
        <v>1833</v>
      </c>
    </row>
    <row customHeight="1" ht="11.25">
      <c r="A86" s="1076" t="s">
        <v>1834</v>
      </c>
      <c r="AZ86" s="1122" t="s">
        <v>1835</v>
      </c>
      <c r="BH86" s="1069" t="s">
        <v>1836</v>
      </c>
      <c r="BJ86" s="1069" t="s">
        <v>1837</v>
      </c>
      <c r="BL86" s="1069" t="s">
        <v>1838</v>
      </c>
    </row>
    <row customHeight="1" ht="11.25">
      <c r="A87" s="1076" t="s">
        <v>1839</v>
      </c>
      <c r="AZ87" s="1122" t="s">
        <v>1840</v>
      </c>
      <c r="BH87" s="1070" t="s">
        <v>1841</v>
      </c>
      <c r="BJ87" s="1070" t="s">
        <v>1842</v>
      </c>
      <c r="BL87" s="1070" t="s">
        <v>1843</v>
      </c>
    </row>
    <row customHeight="1" ht="11.25">
      <c r="A88" s="1076" t="s">
        <v>1844</v>
      </c>
      <c r="AZ88" s="1608"/>
      <c r="BH88" s="1070" t="s">
        <v>1845</v>
      </c>
      <c r="BJ88" s="1070" t="s">
        <v>1846</v>
      </c>
      <c r="BL88" s="1070" t="s">
        <v>1847</v>
      </c>
    </row>
    <row customHeight="1" ht="11.25">
      <c r="A89" s="1076" t="s">
        <v>1848</v>
      </c>
      <c r="AZ89" s="1069" t="s">
        <v>1849</v>
      </c>
    </row>
    <row customHeight="1" ht="11.25">
      <c r="A90" s="1076" t="s">
        <v>1850</v>
      </c>
      <c r="AZ90" s="1122" t="s">
        <v>1067</v>
      </c>
    </row>
    <row customHeight="1" ht="11.25">
      <c r="A91" s="1076" t="s">
        <v>1851</v>
      </c>
      <c r="AZ91" s="1122" t="s">
        <v>1103</v>
      </c>
      <c r="BH91" s="1069" t="s">
        <v>1852</v>
      </c>
      <c r="BJ91" s="1069" t="s">
        <v>1853</v>
      </c>
      <c r="BL91" s="1069" t="s">
        <v>1854</v>
      </c>
    </row>
    <row customHeight="1" ht="11.25">
      <c r="AZ92" s="1122" t="s">
        <v>1855</v>
      </c>
      <c r="BH92" s="1070" t="s">
        <v>1856</v>
      </c>
      <c r="BJ92" s="1070" t="s">
        <v>1857</v>
      </c>
      <c r="BL92" s="1070" t="s">
        <v>1858</v>
      </c>
    </row>
    <row customHeight="1" ht="11.25">
      <c r="AZ93" s="1122" t="s">
        <v>1859</v>
      </c>
      <c r="BH93" s="1070" t="s">
        <v>1860</v>
      </c>
      <c r="BJ93" s="1070" t="s">
        <v>1861</v>
      </c>
      <c r="BL93" s="1070" t="s">
        <v>1862</v>
      </c>
    </row>
    <row customHeight="1" ht="11.25">
      <c r="AZ94" s="1122" t="s">
        <v>1863</v>
      </c>
    </row>
    <row r="96" customHeight="1" ht="11.25">
      <c r="AZ96" s="1069" t="s">
        <v>1864</v>
      </c>
      <c r="BH96" s="1069" t="s">
        <v>1865</v>
      </c>
      <c r="BJ96" s="1069" t="s">
        <v>1866</v>
      </c>
      <c r="BL96" s="1069" t="s">
        <v>1867</v>
      </c>
      <c r="BN96" s="1069" t="s">
        <v>1868</v>
      </c>
    </row>
    <row customHeight="1" ht="11.25">
      <c r="AZ97" s="1900" t="s">
        <v>1869</v>
      </c>
      <c r="BA97" s="1901" t="s">
        <v>1870</v>
      </c>
      <c r="BH97" s="1070" t="s">
        <v>1871</v>
      </c>
      <c r="BJ97" s="1070" t="s">
        <v>1872</v>
      </c>
      <c r="BL97" s="1070" t="s">
        <v>1873</v>
      </c>
      <c r="BN97" s="1070" t="s">
        <v>1874</v>
      </c>
    </row>
    <row customHeight="1" ht="11.25">
      <c r="AZ98" s="1900" t="s">
        <v>1875</v>
      </c>
      <c r="BA98" s="1901" t="s">
        <v>1876</v>
      </c>
      <c r="BH98" s="1070" t="s">
        <v>1877</v>
      </c>
      <c r="BJ98" s="1070" t="s">
        <v>1878</v>
      </c>
      <c r="BL98" s="1070" t="s">
        <v>1879</v>
      </c>
      <c r="BN98" s="1070" t="s">
        <v>1880</v>
      </c>
    </row>
    <row customHeight="1" ht="22.5">
      <c r="AZ99" s="1900" t="s">
        <v>1881</v>
      </c>
      <c r="BA99" s="190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1882</v>
      </c>
      <c r="BJ99" s="1070" t="s">
        <v>1883</v>
      </c>
      <c r="BL99" s="1070" t="s">
        <v>1884</v>
      </c>
      <c r="BN99" s="1070" t="s">
        <v>1885</v>
      </c>
    </row>
    <row customHeight="1" ht="22.5">
      <c r="AZ100" s="1900" t="s">
        <v>1886</v>
      </c>
      <c r="BA100" s="190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1472</v>
      </c>
      <c r="BL100" s="1070" t="s">
        <v>1472</v>
      </c>
      <c r="BN100" s="1070" t="s">
        <v>1887</v>
      </c>
    </row>
    <row customHeight="1" ht="22.5">
      <c r="AZ101" s="1900" t="s">
        <v>1888</v>
      </c>
      <c r="BA101" s="1901" t="s">
        <v>1889</v>
      </c>
      <c r="BN101" s="1070" t="s">
        <v>1890</v>
      </c>
    </row>
    <row customHeight="1" ht="22.5">
      <c r="AZ102" s="1900" t="s">
        <v>1891</v>
      </c>
      <c r="BA102" s="190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1892</v>
      </c>
    </row>
    <row customHeight="1" ht="11.25">
      <c r="AZ103" s="1900" t="s">
        <v>1893</v>
      </c>
      <c r="BA103" s="1901" t="s">
        <v>1894</v>
      </c>
      <c r="BN103" s="1070" t="s">
        <v>1895</v>
      </c>
    </row>
    <row customHeight="1" ht="11.25">
      <c r="BN104" s="1070" t="s">
        <v>1896</v>
      </c>
    </row>
    <row customHeight="1" ht="11.25">
      <c r="AZ105" s="1693" t="s">
        <v>1897</v>
      </c>
    </row>
    <row customHeight="1" ht="11.25">
      <c r="AZ106" s="1122" t="s">
        <v>1898</v>
      </c>
    </row>
    <row customHeight="1" ht="11.25">
      <c r="AZ107" s="1122" t="s">
        <v>1899</v>
      </c>
      <c r="BH107" s="1069" t="s">
        <v>1900</v>
      </c>
      <c r="BJ107" s="1069" t="s">
        <v>1901</v>
      </c>
      <c r="BL107" s="1069" t="s">
        <v>1902</v>
      </c>
      <c r="BN107" s="1069" t="s">
        <v>1903</v>
      </c>
    </row>
    <row customHeight="1" ht="11.25">
      <c r="AZ108" s="1122" t="s">
        <v>564</v>
      </c>
      <c r="BH108" s="1070" t="s">
        <v>1904</v>
      </c>
      <c r="BJ108" s="1070" t="s">
        <v>1905</v>
      </c>
      <c r="BL108" s="1070" t="s">
        <v>1560</v>
      </c>
      <c r="BN108" s="1070" t="s">
        <v>1906</v>
      </c>
    </row>
    <row customHeight="1" ht="11.25">
      <c r="BH109" s="1070" t="s">
        <v>1907</v>
      </c>
    </row>
    <row customHeight="1" ht="11.25">
      <c r="AZ110" s="1693" t="s">
        <v>1908</v>
      </c>
      <c r="BH110" s="1070" t="s">
        <v>1907</v>
      </c>
    </row>
    <row customHeight="1" ht="11.25">
      <c r="AZ111" s="1900" t="s">
        <v>1869</v>
      </c>
      <c r="BA111" s="1901" t="s">
        <v>1870</v>
      </c>
    </row>
    <row customHeight="1" ht="11.25">
      <c r="AZ112" s="1900" t="s">
        <v>1875</v>
      </c>
      <c r="BA112" s="1901" t="s">
        <v>1876</v>
      </c>
    </row>
    <row customHeight="1" ht="22.5">
      <c r="AZ113" s="1900" t="s">
        <v>1881</v>
      </c>
      <c r="BA113" s="190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0" t="s">
        <v>1886</v>
      </c>
      <c r="BA114" s="190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1909</v>
      </c>
    </row>
    <row customHeight="1" ht="22.5">
      <c r="AZ115" s="1900" t="s">
        <v>1891</v>
      </c>
      <c r="BA115" s="190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1269</v>
      </c>
    </row>
    <row customHeight="1" ht="11.25">
      <c r="AZ116" s="1900" t="s">
        <v>1893</v>
      </c>
      <c r="BA116" s="1901" t="s">
        <v>1894</v>
      </c>
      <c r="BH116" s="1070" t="s">
        <v>1296</v>
      </c>
    </row>
    <row customHeight="1" ht="11.25">
      <c r="BH117" s="1070" t="s">
        <v>1331</v>
      </c>
    </row>
    <row customHeight="1" ht="11.25">
      <c r="BH118" s="1070" t="s">
        <v>1365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148BD-4A0F-92CD-41A8-43236CE20E6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294</v>
      </c>
      <c r="J1" s="457" t="s">
        <v>14</v>
      </c>
    </row>
    <row customHeight="1" ht="22.5" hidden="1">
      <c r="A2" s="504"/>
      <c r="B2" s="504"/>
      <c r="C2" s="1731" t="s">
        <v>682</v>
      </c>
      <c r="D2" s="1522"/>
      <c r="E2" s="1528"/>
      <c r="F2" s="1551"/>
      <c r="H2" s="477"/>
      <c r="J2" s="457">
        <v>0</v>
      </c>
    </row>
    <row customHeight="1" ht="11.25" hidden="1">
      <c r="J3" s="457">
        <v>0</v>
      </c>
    </row>
    <row customHeight="1" ht="11.549999999999999">
      <c r="A4" s="1552"/>
      <c r="B4" s="1552"/>
      <c r="J4" s="457">
        <v>11</v>
      </c>
    </row>
    <row customHeight="1" ht="27.299999999999997">
      <c r="D5" s="22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2"/>
      <c r="F5" s="2263"/>
      <c r="I5" s="717"/>
      <c r="J5" s="457">
        <v>26</v>
      </c>
    </row>
    <row customHeight="1" ht="18">
      <c r="D6" s="2224" t="str">
        <f>IF(region_name=0,"Не определено",region_name)</f>
        <v>Сахалинская область</v>
      </c>
      <c r="E6" s="2224"/>
      <c r="F6" s="2224"/>
      <c r="I6" s="717"/>
      <c r="J6" s="457">
        <v>17</v>
      </c>
    </row>
    <row s="479" customFormat="1" customHeight="1" ht="11.549999999999999">
      <c r="A7" s="503"/>
      <c r="B7" s="503"/>
      <c r="D7" s="716"/>
      <c r="E7" s="716"/>
      <c r="F7" s="754"/>
      <c r="G7" s="716"/>
      <c r="J7" s="479">
        <v>11</v>
      </c>
    </row>
    <row customHeight="1" ht="11.25" hidden="1">
      <c r="A8" s="504"/>
      <c r="B8" s="504"/>
      <c r="C8" s="459"/>
      <c r="D8" s="465"/>
      <c r="E8" s="2230"/>
      <c r="F8" s="2230"/>
      <c r="J8" s="457">
        <v>0</v>
      </c>
    </row>
    <row customHeight="1" ht="11.549999999999999">
      <c r="A9" s="504"/>
      <c r="B9" s="504"/>
      <c r="C9" s="459"/>
      <c r="D9" s="2227" t="s">
        <v>295</v>
      </c>
      <c r="E9" s="2228"/>
      <c r="F9" s="2228"/>
      <c r="G9" s="2231" t="s">
        <v>296</v>
      </c>
      <c r="J9" s="457">
        <v>11</v>
      </c>
    </row>
    <row customHeight="1" ht="11.549999999999999">
      <c r="A10" s="504"/>
      <c r="B10" s="504"/>
      <c r="C10" s="459"/>
      <c r="D10" s="1476" t="s">
        <v>88</v>
      </c>
      <c r="E10" s="1478" t="s">
        <v>297</v>
      </c>
      <c r="F10" s="1478" t="s">
        <v>298</v>
      </c>
      <c r="G10" s="2232"/>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7" t="str">
        <f>IF(org="","",org)</f>
        <v>Муниципальное унитарное предприятие "Невельские коммунальные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1910</v>
      </c>
      <c r="F13" s="1523" t="s">
        <v>301</v>
      </c>
      <c r="G13" s="476"/>
      <c r="H13" s="1535"/>
      <c r="J13" s="457">
        <v>19</v>
      </c>
    </row>
    <row customHeight="1" ht="19.95">
      <c r="A14" s="504"/>
      <c r="B14" s="504"/>
      <c r="C14" s="459"/>
      <c r="D14" s="1525" t="s">
        <v>702</v>
      </c>
      <c r="E14" s="1526" t="s">
        <v>1911</v>
      </c>
      <c r="F14" s="1528"/>
      <c r="G14" s="1527" t="s">
        <v>1912</v>
      </c>
      <c r="H14" s="1535"/>
      <c r="J14" s="457">
        <v>19</v>
      </c>
    </row>
    <row customHeight="1" ht="19.95">
      <c r="A15" s="504"/>
      <c r="B15" s="504"/>
      <c r="C15" s="459"/>
      <c r="D15" s="1525" t="s">
        <v>302</v>
      </c>
      <c r="E15" s="1526" t="s">
        <v>1913</v>
      </c>
      <c r="F15" s="1528"/>
      <c r="G15" s="1527" t="s">
        <v>1914</v>
      </c>
      <c r="H15" s="1535"/>
      <c r="J15" s="457">
        <v>19</v>
      </c>
    </row>
    <row customHeight="1" ht="24">
      <c r="A16" s="504"/>
      <c r="B16" s="504"/>
      <c r="C16" s="459"/>
      <c r="D16" s="1525" t="s">
        <v>305</v>
      </c>
      <c r="E16" s="1524" t="s">
        <v>1915</v>
      </c>
      <c r="F16" s="1533"/>
      <c r="G16" s="476" t="s">
        <v>1916</v>
      </c>
      <c r="H16" s="1535"/>
      <c r="J16" s="457">
        <v>23</v>
      </c>
    </row>
    <row customHeight="1" ht="48.29999999999999">
      <c r="A17" s="504"/>
      <c r="B17" s="504"/>
      <c r="C17" s="459"/>
      <c r="D17" s="1522">
        <v>3</v>
      </c>
      <c r="E17" s="1529" t="s">
        <v>1917</v>
      </c>
      <c r="F17" s="1528"/>
      <c r="G17" s="476" t="s">
        <v>1918</v>
      </c>
      <c r="H17" s="1535"/>
      <c r="J17" s="457">
        <v>46</v>
      </c>
    </row>
    <row customHeight="1" ht="48.29999999999999">
      <c r="A18" s="1477">
        <v>1</v>
      </c>
      <c r="B18" s="504"/>
      <c r="C18" s="1479"/>
      <c r="D18" s="1522" t="s">
        <v>91</v>
      </c>
      <c r="E18" s="1529" t="s">
        <v>1919</v>
      </c>
      <c r="F18" s="1528"/>
      <c r="G18" s="476" t="s">
        <v>1918</v>
      </c>
      <c r="H18" s="1535"/>
      <c r="I18" s="854"/>
      <c r="J18" s="457">
        <v>46</v>
      </c>
    </row>
    <row customHeight="1" ht="23.25">
      <c r="A19" s="504"/>
      <c r="B19" s="504"/>
      <c r="C19" s="459"/>
      <c r="D19" s="1522" t="s">
        <v>108</v>
      </c>
      <c r="E19" s="1529" t="s">
        <v>1920</v>
      </c>
      <c r="F19" s="1523" t="s">
        <v>301</v>
      </c>
      <c r="G19" s="2496" t="s">
        <v>1921</v>
      </c>
      <c r="H19" s="477"/>
      <c r="J19" s="457">
        <v>22</v>
      </c>
    </row>
    <row s="1532" customFormat="1" customHeight="1" ht="5.25" hidden="1">
      <c r="A20" s="504"/>
      <c r="B20" s="504"/>
      <c r="C20" s="1531"/>
      <c r="D20" s="1530" t="s">
        <v>1167</v>
      </c>
      <c r="E20" s="1016"/>
      <c r="F20" s="1015"/>
      <c r="G20" s="2497"/>
      <c r="J20" s="1532">
        <v>0</v>
      </c>
    </row>
    <row customHeight="1" ht="15.75">
      <c r="A21" s="504"/>
      <c r="B21" s="504"/>
      <c r="C21" s="459"/>
      <c r="D21" s="469"/>
      <c r="E21" s="417" t="s">
        <v>334</v>
      </c>
      <c r="F21" s="471"/>
      <c r="G21" s="2498"/>
      <c r="H21" s="1535"/>
      <c r="J21" s="457">
        <v>15</v>
      </c>
    </row>
    <row s="503" customFormat="1" customHeight="1" ht="26.25">
      <c r="A22" s="504"/>
      <c r="B22" s="504"/>
      <c r="C22" s="504"/>
      <c r="D22" s="1522" t="s">
        <v>92</v>
      </c>
      <c r="E22" s="476" t="s">
        <v>1922</v>
      </c>
      <c r="F22" s="1528"/>
      <c r="G22" s="476" t="s">
        <v>1923</v>
      </c>
      <c r="H22" s="1534"/>
      <c r="J22" s="503">
        <v>25</v>
      </c>
    </row>
    <row s="503" customFormat="1" customHeight="1" ht="19.95">
      <c r="A23" s="504"/>
      <c r="B23" s="504"/>
      <c r="C23" s="504"/>
      <c r="D23" s="1522" t="s">
        <v>93</v>
      </c>
      <c r="E23" s="1529" t="s">
        <v>1924</v>
      </c>
      <c r="F23" s="1533"/>
      <c r="G23" s="476" t="s">
        <v>1925</v>
      </c>
      <c r="H23" s="1534"/>
      <c r="J23" s="503">
        <v>19</v>
      </c>
    </row>
    <row s="503" customFormat="1" customHeight="1" ht="144" hidden="1">
      <c r="A24" s="504"/>
      <c r="B24" s="504"/>
      <c r="C24" s="504"/>
      <c r="D24" s="1522" t="s">
        <v>109</v>
      </c>
      <c r="E24" s="189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7"/>
      <c r="G24" s="189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19CAF8-BB88-F468-2EB3-98406D4C402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1"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1926</v>
      </c>
      <c r="G1" s="1633" t="s">
        <v>48</v>
      </c>
      <c r="H1" s="1633" t="s">
        <v>50</v>
      </c>
      <c r="IU1" s="1157" t="s">
        <v>14</v>
      </c>
    </row>
    <row s="1849" customFormat="1" customHeight="1" ht="22.5" hidden="1">
      <c r="A2" s="833"/>
      <c r="B2" s="1162">
        <v>1</v>
      </c>
      <c r="C2" s="1162"/>
      <c r="D2" s="1927" t="s">
        <v>682</v>
      </c>
      <c r="E2" s="1486"/>
      <c r="F2" s="1493"/>
      <c r="G2" s="1493"/>
      <c r="H2" s="1493"/>
      <c r="I2" s="1983"/>
      <c r="J2" s="1984"/>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0"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0" customFormat="1" customHeight="1" ht="27.299999999999997">
      <c r="A5" s="1157"/>
      <c r="B5" s="1162"/>
      <c r="C5" s="1157"/>
      <c r="D5" s="1497"/>
      <c r="E5" s="212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3"/>
      <c r="G5" s="2123"/>
      <c r="H5" s="2123"/>
      <c r="I5" s="2123"/>
      <c r="J5" s="2123"/>
      <c r="K5" s="249"/>
      <c r="L5" s="502"/>
      <c r="M5" s="502"/>
      <c r="N5" s="502"/>
      <c r="O5" s="228"/>
      <c r="P5" s="502"/>
      <c r="Q5" s="227"/>
      <c r="R5" s="227"/>
      <c r="S5" s="227"/>
      <c r="T5" s="227"/>
      <c r="IU5" s="509">
        <v>26</v>
      </c>
    </row>
    <row s="1820"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0" customFormat="1" customHeight="1" ht="14.699999999999998">
      <c r="A7" s="1157"/>
      <c r="B7" s="1162"/>
      <c r="C7" s="1157"/>
      <c r="D7" s="1497"/>
      <c r="E7" s="2124" t="s">
        <v>295</v>
      </c>
      <c r="F7" s="2125"/>
      <c r="G7" s="2125"/>
      <c r="H7" s="2125"/>
      <c r="I7" s="2125"/>
      <c r="J7" s="2499" t="s">
        <v>296</v>
      </c>
      <c r="K7" s="502"/>
      <c r="L7" s="502"/>
      <c r="M7" s="502"/>
      <c r="N7" s="502"/>
      <c r="O7" s="228"/>
      <c r="P7" s="502"/>
      <c r="Q7" s="227"/>
      <c r="R7" s="227"/>
      <c r="S7" s="227"/>
      <c r="T7" s="227"/>
      <c r="IU7" s="509">
        <v>14</v>
      </c>
    </row>
    <row s="1820" customFormat="1" customHeight="1" ht="21">
      <c r="A8" s="1157"/>
      <c r="B8" s="1162"/>
      <c r="C8" s="1157"/>
      <c r="D8" s="1497"/>
      <c r="E8" s="1550" t="s">
        <v>88</v>
      </c>
      <c r="F8" s="1542" t="s">
        <v>1926</v>
      </c>
      <c r="G8" s="1542" t="s">
        <v>48</v>
      </c>
      <c r="H8" s="1542" t="s">
        <v>50</v>
      </c>
      <c r="I8" s="1542" t="s">
        <v>1927</v>
      </c>
      <c r="J8" s="2500"/>
      <c r="K8" s="502"/>
      <c r="L8" s="502"/>
      <c r="M8" s="502"/>
      <c r="N8" s="502"/>
      <c r="O8" s="228"/>
      <c r="P8" s="502"/>
      <c r="Q8" s="227"/>
      <c r="R8" s="227"/>
      <c r="S8" s="227"/>
      <c r="T8" s="227"/>
      <c r="IU8" s="509">
        <v>20</v>
      </c>
    </row>
    <row s="1849" customFormat="1" customHeight="1" ht="23.25">
      <c r="A9" s="1633"/>
      <c r="B9" s="1162">
        <v>1</v>
      </c>
      <c r="C9" s="1162"/>
      <c r="D9" s="803"/>
      <c r="E9" s="1486">
        <v>1</v>
      </c>
      <c r="F9" s="1549"/>
      <c r="G9" s="1493"/>
      <c r="H9" s="1493"/>
      <c r="I9" s="1540"/>
      <c r="J9" s="218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49" customFormat="1" customHeight="1" ht="15.75">
      <c r="A10" s="1633"/>
      <c r="B10" s="1162"/>
      <c r="C10" s="414"/>
      <c r="D10" s="803"/>
      <c r="E10" s="1543"/>
      <c r="F10" s="1502" t="s">
        <v>1928</v>
      </c>
      <c r="G10" s="1544"/>
      <c r="H10" s="1544"/>
      <c r="I10" s="1898"/>
      <c r="J10" s="2186"/>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0"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0"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0"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06C88-7AE4-61D9-A5AA-EDD678B47B17}"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1"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49" customFormat="1" customHeight="1" ht="22.5" hidden="1">
      <c r="A2" s="833"/>
      <c r="B2" s="1162">
        <v>1</v>
      </c>
      <c r="C2" s="1162"/>
      <c r="D2" s="1927" t="s">
        <v>682</v>
      </c>
      <c r="E2" s="1888"/>
      <c r="F2" s="1891" t="str">
        <f>IF(ROIV_INFO_NAME="","",ROIV_INFO_NAME)</f>
        <v>Муниципальное унитарное предприятие "Невельские коммунальные сети"</v>
      </c>
      <c r="G2" s="1916" t="s">
        <v>22</v>
      </c>
      <c r="H2" s="1915"/>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6"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0"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0" customFormat="1" customHeight="1" ht="27.299999999999997">
      <c r="A5" s="1157"/>
      <c r="B5" s="1162"/>
      <c r="C5" s="1157"/>
      <c r="D5" s="1497"/>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590"/>
      <c r="M5" s="249"/>
      <c r="N5" s="502"/>
      <c r="O5" s="502"/>
      <c r="P5" s="502"/>
      <c r="Q5" s="228"/>
      <c r="R5" s="502"/>
      <c r="S5" s="227"/>
      <c r="T5" s="227"/>
      <c r="U5" s="227"/>
      <c r="V5" s="227"/>
      <c r="IW5" s="509">
        <v>26</v>
      </c>
    </row>
    <row s="1820"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0" customFormat="1" customHeight="1" ht="14.699999999999998">
      <c r="A7" s="1157"/>
      <c r="B7" s="1162"/>
      <c r="C7" s="1157"/>
      <c r="D7" s="1497"/>
      <c r="E7" s="2124" t="s">
        <v>295</v>
      </c>
      <c r="F7" s="2125"/>
      <c r="G7" s="2125"/>
      <c r="H7" s="2125"/>
      <c r="I7" s="2125"/>
      <c r="J7" s="2125"/>
      <c r="K7" s="2125"/>
      <c r="L7" s="2499" t="s">
        <v>296</v>
      </c>
      <c r="M7" s="502"/>
      <c r="N7" s="502"/>
      <c r="O7" s="502"/>
      <c r="P7" s="502"/>
      <c r="Q7" s="228"/>
      <c r="R7" s="502"/>
      <c r="S7" s="227"/>
      <c r="T7" s="227"/>
      <c r="U7" s="227"/>
      <c r="V7" s="227"/>
      <c r="IW7" s="509">
        <v>14</v>
      </c>
    </row>
    <row s="1820" customFormat="1" customHeight="1" ht="67.2">
      <c r="A8" s="1157"/>
      <c r="B8" s="1162"/>
      <c r="C8" s="1157"/>
      <c r="D8" s="1497"/>
      <c r="E8" s="2503" t="s">
        <v>88</v>
      </c>
      <c r="F8" s="250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6"/>
      <c r="I8" s="2507"/>
      <c r="J8" s="250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01"/>
      <c r="M8" s="502"/>
      <c r="N8" s="502"/>
      <c r="O8" s="502"/>
      <c r="P8" s="502"/>
      <c r="Q8" s="228"/>
      <c r="R8" s="502"/>
      <c r="S8" s="227"/>
      <c r="T8" s="227"/>
      <c r="U8" s="227"/>
      <c r="V8" s="227"/>
      <c r="IW8" s="509">
        <v>64</v>
      </c>
    </row>
    <row s="1820" customFormat="1" customHeight="1" ht="29.25">
      <c r="A9" s="1157"/>
      <c r="B9" s="1162"/>
      <c r="C9" s="1157"/>
      <c r="D9" s="1497"/>
      <c r="E9" s="2504"/>
      <c r="F9" s="2504"/>
      <c r="G9" s="1539" t="s">
        <v>1929</v>
      </c>
      <c r="H9" s="1539" t="s">
        <v>1930</v>
      </c>
      <c r="I9" s="1539" t="s">
        <v>1931</v>
      </c>
      <c r="J9" s="2504"/>
      <c r="K9" s="2504"/>
      <c r="L9" s="2500"/>
      <c r="M9" s="502"/>
      <c r="N9" s="502"/>
      <c r="O9" s="502"/>
      <c r="P9" s="502"/>
      <c r="Q9" s="228"/>
      <c r="R9" s="502"/>
      <c r="S9" s="227"/>
      <c r="T9" s="227"/>
      <c r="U9" s="227"/>
      <c r="V9" s="227"/>
      <c r="IW9" s="509">
        <v>28</v>
      </c>
    </row>
    <row s="1849" customFormat="1" customHeight="1" ht="23.25">
      <c r="A10" s="2122"/>
      <c r="B10" s="1162">
        <v>1</v>
      </c>
      <c r="C10" s="1162"/>
      <c r="D10" s="802"/>
      <c r="E10" s="800">
        <v>1</v>
      </c>
      <c r="F10" s="1541" t="str">
        <f>IF(ROIV_INFO_NAME="","",ROIV_INFO_NAME)</f>
        <v>Муниципальное унитарное предприятие "Невельские коммунальные сети"</v>
      </c>
      <c r="G10" s="1733" t="s">
        <v>22</v>
      </c>
      <c r="H10" s="1915"/>
      <c r="I10" s="1536"/>
      <c r="J10" s="820"/>
      <c r="K10" s="820"/>
      <c r="L10" s="24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49" customFormat="1" customHeight="1" ht="15.75">
      <c r="A11" s="2122"/>
      <c r="B11" s="1162"/>
      <c r="C11" s="414"/>
      <c r="D11" s="803"/>
      <c r="E11" s="423"/>
      <c r="F11" s="418" t="s">
        <v>1932</v>
      </c>
      <c r="G11" s="189"/>
      <c r="H11" s="189"/>
      <c r="I11" s="189"/>
      <c r="J11" s="189"/>
      <c r="K11" s="426"/>
      <c r="L11" s="2502"/>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0"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0"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0"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817418-8CA9-B7A1-CFE9-9BC7361B02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1"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49" customFormat="1" customHeight="1" ht="22.5" hidden="1">
      <c r="A2" s="833"/>
      <c r="B2" s="1368">
        <v>1</v>
      </c>
      <c r="C2" s="1368"/>
      <c r="D2" s="1927" t="s">
        <v>682</v>
      </c>
      <c r="E2" s="1903"/>
      <c r="F2" s="1905" t="str">
        <f>IF(ROIV_INFO_NAME="","",ROIV_INFO_NAME)</f>
        <v>Муниципальное унитарное предприятие "Невельские коммунальные сети"</v>
      </c>
      <c r="G2" s="1733" t="s">
        <v>22</v>
      </c>
      <c r="H2" s="1915"/>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2"/>
      <c r="F3" s="250" t="s">
        <v>83</v>
      </c>
      <c r="G3" s="1736" t="s">
        <v>84</v>
      </c>
      <c r="H3" s="1892"/>
      <c r="I3" s="1892"/>
      <c r="J3" s="1892"/>
      <c r="K3" s="1892"/>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0" customFormat="1" customHeight="1" ht="14.699999999999998">
      <c r="A4" s="1633"/>
      <c r="B4" s="1368"/>
      <c r="C4" s="1633"/>
      <c r="D4" s="1517"/>
      <c r="E4" s="1637"/>
      <c r="F4" s="1637"/>
      <c r="G4" s="1637"/>
      <c r="H4" s="1637"/>
      <c r="I4" s="1637"/>
      <c r="J4" s="1637"/>
      <c r="K4" s="1637"/>
      <c r="L4" s="1894"/>
      <c r="M4" s="250"/>
      <c r="N4" s="1626"/>
      <c r="O4" s="1626"/>
      <c r="P4" s="1626"/>
      <c r="Q4" s="1626"/>
      <c r="R4" s="1626"/>
      <c r="S4" s="227"/>
      <c r="T4" s="227"/>
      <c r="U4" s="227"/>
      <c r="V4" s="227"/>
      <c r="IW4" s="1611">
        <v>14</v>
      </c>
    </row>
    <row s="1820" customFormat="1" customHeight="1" ht="27.299999999999997">
      <c r="A5" s="1633"/>
      <c r="B5" s="1368"/>
      <c r="C5" s="1633"/>
      <c r="D5" s="1517"/>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1637"/>
      <c r="M5" s="250"/>
      <c r="N5" s="1626"/>
      <c r="O5" s="1626"/>
      <c r="P5" s="1626"/>
      <c r="Q5" s="1626"/>
      <c r="R5" s="1626"/>
      <c r="S5" s="227"/>
      <c r="T5" s="227"/>
      <c r="U5" s="227"/>
      <c r="V5" s="227"/>
      <c r="IW5" s="1611">
        <v>26</v>
      </c>
    </row>
    <row s="1820"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0" customFormat="1" customHeight="1" ht="14.699999999999998">
      <c r="A7" s="1633"/>
      <c r="B7" s="1368"/>
      <c r="C7" s="1633"/>
      <c r="D7" s="1517"/>
      <c r="E7" s="2124" t="s">
        <v>295</v>
      </c>
      <c r="F7" s="2125"/>
      <c r="G7" s="2125"/>
      <c r="H7" s="2125"/>
      <c r="I7" s="2125"/>
      <c r="J7" s="2125"/>
      <c r="K7" s="2125"/>
      <c r="L7" s="2499" t="s">
        <v>296</v>
      </c>
      <c r="M7" s="1626"/>
      <c r="N7" s="1626"/>
      <c r="O7" s="1626"/>
      <c r="P7" s="1626"/>
      <c r="Q7" s="1626"/>
      <c r="R7" s="1626"/>
      <c r="S7" s="227"/>
      <c r="T7" s="227"/>
      <c r="U7" s="227"/>
      <c r="V7" s="227"/>
      <c r="IW7" s="1611">
        <v>14</v>
      </c>
    </row>
    <row s="1820" customFormat="1" customHeight="1" ht="67.2">
      <c r="A8" s="1633"/>
      <c r="B8" s="1368"/>
      <c r="C8" s="1633"/>
      <c r="D8" s="1517"/>
      <c r="E8" s="2503" t="s">
        <v>88</v>
      </c>
      <c r="F8" s="2503" t="s">
        <v>1933</v>
      </c>
      <c r="G8" s="2505" t="s">
        <v>1934</v>
      </c>
      <c r="H8" s="2506"/>
      <c r="I8" s="2507"/>
      <c r="J8" s="2503" t="s">
        <v>1935</v>
      </c>
      <c r="K8" s="250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01"/>
      <c r="M8" s="1626"/>
      <c r="N8" s="1626"/>
      <c r="O8" s="1626"/>
      <c r="P8" s="1626"/>
      <c r="Q8" s="1626"/>
      <c r="R8" s="1626"/>
      <c r="S8" s="227"/>
      <c r="T8" s="227"/>
      <c r="U8" s="227"/>
      <c r="V8" s="227"/>
      <c r="IW8" s="1611">
        <v>64</v>
      </c>
    </row>
    <row s="1820" customFormat="1" customHeight="1" ht="29.25">
      <c r="A9" s="1633"/>
      <c r="B9" s="1368"/>
      <c r="C9" s="1633"/>
      <c r="D9" s="1517"/>
      <c r="E9" s="2504"/>
      <c r="F9" s="2504"/>
      <c r="G9" s="1893" t="s">
        <v>1929</v>
      </c>
      <c r="H9" s="1893" t="s">
        <v>1930</v>
      </c>
      <c r="I9" s="1893" t="s">
        <v>1931</v>
      </c>
      <c r="J9" s="2504"/>
      <c r="K9" s="2504"/>
      <c r="L9" s="2500"/>
      <c r="M9" s="1626"/>
      <c r="N9" s="1626"/>
      <c r="O9" s="1626"/>
      <c r="P9" s="1626"/>
      <c r="Q9" s="1626"/>
      <c r="R9" s="1626"/>
      <c r="S9" s="227"/>
      <c r="T9" s="227"/>
      <c r="U9" s="227"/>
      <c r="V9" s="227"/>
      <c r="IW9" s="1611">
        <v>28</v>
      </c>
    </row>
    <row s="1849" customFormat="1" customHeight="1" ht="1.05">
      <c r="A10" s="2122"/>
      <c r="B10" s="1368">
        <v>1</v>
      </c>
      <c r="C10" s="1368"/>
      <c r="D10" s="802"/>
      <c r="E10" s="797">
        <v>0</v>
      </c>
      <c r="F10" s="1890" t="str">
        <f>IF(ROIV_INFO_NAME="","",ROIV_INFO_NAME)</f>
        <v>Муниципальное унитарное предприятие "Невельские коммунальные сети"</v>
      </c>
      <c r="G10" s="1734" t="s">
        <v>22</v>
      </c>
      <c r="H10" s="1902"/>
      <c r="I10" s="1902"/>
      <c r="J10" s="521"/>
      <c r="K10" s="521"/>
      <c r="L10" s="24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49" customFormat="1" customHeight="1" ht="15.75">
      <c r="A11" s="2122"/>
      <c r="B11" s="1368"/>
      <c r="C11" s="414"/>
      <c r="D11" s="803"/>
      <c r="E11" s="423"/>
      <c r="F11" s="653" t="s">
        <v>1932</v>
      </c>
      <c r="G11" s="189"/>
      <c r="H11" s="189"/>
      <c r="I11" s="189"/>
      <c r="J11" s="189"/>
      <c r="K11" s="426"/>
      <c r="L11" s="2502"/>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0"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0"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0"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60998-692E-0F31-7B78-F8907BAAC4B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1"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49" customFormat="1" customHeight="1" ht="22.5" hidden="1">
      <c r="A2" s="498"/>
      <c r="B2" s="1162">
        <v>1</v>
      </c>
      <c r="C2" s="1162"/>
      <c r="D2" s="1927" t="s">
        <v>682</v>
      </c>
      <c r="E2" s="2140">
        <v>1</v>
      </c>
      <c r="F2" s="2329" t="str">
        <f>IF(region_name="","",region_name)</f>
        <v>Сахалинская область</v>
      </c>
      <c r="G2" s="2516"/>
      <c r="H2" s="2517"/>
      <c r="I2" s="476"/>
      <c r="J2" s="1909">
        <v>1</v>
      </c>
      <c r="K2" s="1911"/>
      <c r="L2" s="1911"/>
      <c r="M2" s="1911"/>
      <c r="N2" s="494"/>
      <c r="O2" s="1537"/>
      <c r="P2" s="513"/>
      <c r="Q2" s="425">
        <v>0</v>
      </c>
    </row>
    <row s="1849" customFormat="1" customHeight="1" ht="22.5" hidden="1">
      <c r="A3" s="833"/>
      <c r="B3" s="1162"/>
      <c r="C3" s="1162"/>
      <c r="D3" s="803"/>
      <c r="E3" s="2140"/>
      <c r="F3" s="2329"/>
      <c r="G3" s="2516"/>
      <c r="H3" s="2518"/>
      <c r="I3" s="423"/>
      <c r="J3" s="1502"/>
      <c r="K3" s="1502" t="s">
        <v>1936</v>
      </c>
      <c r="L3" s="1545"/>
      <c r="M3" s="1919"/>
      <c r="N3" s="1912"/>
      <c r="O3" s="1537"/>
      <c r="P3" s="513"/>
      <c r="Q3" s="425">
        <v>0</v>
      </c>
    </row>
    <row s="1644" customFormat="1" customHeight="1" ht="5.25" hidden="1">
      <c r="A4" s="498"/>
      <c r="D4" s="496"/>
      <c r="F4" s="249" t="s">
        <v>83</v>
      </c>
      <c r="G4" s="496" t="s">
        <v>84</v>
      </c>
      <c r="H4" s="496"/>
      <c r="I4" s="1922"/>
      <c r="J4" s="1546"/>
      <c r="K4" s="1910"/>
      <c r="L4" s="1910"/>
      <c r="M4" s="1910"/>
      <c r="N4" s="1906"/>
      <c r="O4" s="249" t="s">
        <v>83</v>
      </c>
      <c r="P4" s="249"/>
      <c r="Q4" s="513">
        <v>0</v>
      </c>
    </row>
    <row s="1849" customFormat="1" customHeight="1" ht="22.5" hidden="1">
      <c r="A5" s="1643"/>
      <c r="B5" s="1368">
        <v>1</v>
      </c>
      <c r="C5" s="1368"/>
      <c r="D5" s="803"/>
      <c r="E5" s="1912"/>
      <c r="F5" s="1912"/>
      <c r="G5" s="1912"/>
      <c r="H5" s="1923"/>
      <c r="I5" s="1928" t="s">
        <v>682</v>
      </c>
      <c r="J5" s="1921">
        <v>1</v>
      </c>
      <c r="K5" s="1911"/>
      <c r="L5" s="1911"/>
      <c r="M5" s="1911"/>
      <c r="N5" s="494"/>
      <c r="O5" s="1537"/>
      <c r="P5" s="1638"/>
      <c r="Q5" s="626">
        <v>0</v>
      </c>
    </row>
    <row s="1820" customFormat="1" customHeight="1" ht="14.699999999999998">
      <c r="A6" s="1157"/>
      <c r="B6" s="1162"/>
      <c r="C6" s="1157"/>
      <c r="D6" s="1497"/>
      <c r="E6" s="511"/>
      <c r="F6" s="511"/>
      <c r="G6" s="511"/>
      <c r="H6" s="511"/>
      <c r="I6" s="511"/>
      <c r="J6" s="511"/>
      <c r="K6" s="511"/>
      <c r="L6" s="511"/>
      <c r="M6" s="511"/>
      <c r="N6" s="1637"/>
      <c r="O6" s="249"/>
      <c r="P6" s="502"/>
      <c r="Q6" s="509">
        <v>14</v>
      </c>
    </row>
    <row s="1820" customFormat="1" customHeight="1" ht="27.299999999999997">
      <c r="A7" s="1157"/>
      <c r="B7" s="1162"/>
      <c r="C7" s="1157"/>
      <c r="D7" s="1497"/>
      <c r="E7" s="251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0"/>
      <c r="G7" s="2510"/>
      <c r="H7" s="2510"/>
      <c r="I7" s="2510"/>
      <c r="J7" s="2510"/>
      <c r="K7" s="2510"/>
      <c r="L7" s="2510"/>
      <c r="M7" s="2510"/>
      <c r="N7" s="1254"/>
      <c r="O7" s="249"/>
      <c r="P7" s="502"/>
      <c r="Q7" s="509">
        <v>26</v>
      </c>
    </row>
    <row s="1820"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3"/>
      <c r="F9" s="1913"/>
      <c r="G9" s="1913"/>
      <c r="H9" s="1913"/>
      <c r="I9" s="2513"/>
      <c r="J9" s="2513"/>
      <c r="K9" s="2513"/>
      <c r="L9" s="1913"/>
      <c r="M9" s="1914"/>
      <c r="O9" s="1547"/>
      <c r="P9" s="1547"/>
      <c r="Q9" s="1548">
        <v>0</v>
      </c>
    </row>
    <row s="1820" customFormat="1" customHeight="1" ht="14.699999999999998">
      <c r="A10" s="1157"/>
      <c r="B10" s="1162"/>
      <c r="C10" s="1157"/>
      <c r="D10" s="1497"/>
      <c r="E10" s="2140" t="s">
        <v>295</v>
      </c>
      <c r="F10" s="2140"/>
      <c r="G10" s="2140"/>
      <c r="H10" s="2140"/>
      <c r="I10" s="2140"/>
      <c r="J10" s="2140"/>
      <c r="K10" s="2140"/>
      <c r="L10" s="2140"/>
      <c r="M10" s="2124"/>
      <c r="N10" s="2503" t="s">
        <v>296</v>
      </c>
      <c r="O10" s="502"/>
      <c r="P10" s="502"/>
      <c r="Q10" s="509">
        <v>14</v>
      </c>
    </row>
    <row s="1820" customFormat="1" customHeight="1" ht="44.25">
      <c r="A11" s="1633"/>
      <c r="B11" s="1368"/>
      <c r="C11" s="1633"/>
      <c r="D11" s="1517"/>
      <c r="E11" s="2512" t="s">
        <v>88</v>
      </c>
      <c r="F11" s="2512" t="s">
        <v>299</v>
      </c>
      <c r="G11" s="2512" t="s">
        <v>1937</v>
      </c>
      <c r="H11" s="2512"/>
      <c r="I11" s="2512" t="s">
        <v>1938</v>
      </c>
      <c r="J11" s="2512"/>
      <c r="K11" s="2512"/>
      <c r="L11" s="2512" t="s">
        <v>1939</v>
      </c>
      <c r="M11" s="2505" t="s">
        <v>1940</v>
      </c>
      <c r="N11" s="2511"/>
      <c r="O11" s="1626"/>
      <c r="P11" s="1626"/>
      <c r="Q11" s="1611">
        <v>42</v>
      </c>
    </row>
    <row s="1820" customFormat="1" customHeight="1" ht="29.25">
      <c r="A12" s="1157"/>
      <c r="B12" s="1162"/>
      <c r="C12" s="1157"/>
      <c r="D12" s="1497"/>
      <c r="E12" s="2503"/>
      <c r="F12" s="2512"/>
      <c r="G12" s="1908" t="s">
        <v>1941</v>
      </c>
      <c r="H12" s="1908" t="s">
        <v>303</v>
      </c>
      <c r="I12" s="2512"/>
      <c r="J12" s="2512"/>
      <c r="K12" s="2512"/>
      <c r="L12" s="2512"/>
      <c r="M12" s="2505"/>
      <c r="N12" s="2504"/>
      <c r="O12" s="502"/>
      <c r="P12" s="502"/>
      <c r="Q12" s="509">
        <v>28</v>
      </c>
    </row>
    <row s="1849" customFormat="1" customHeight="1" ht="23.25">
      <c r="A13" s="2122">
        <v>26379339</v>
      </c>
      <c r="B13" s="1162">
        <v>1</v>
      </c>
      <c r="C13" s="1162"/>
      <c r="D13" s="803"/>
      <c r="E13" s="2140">
        <v>1</v>
      </c>
      <c r="F13" s="2519" t="str">
        <f>IF(region_name="","",region_name)</f>
        <v>Сахалинская область</v>
      </c>
      <c r="G13" s="2520"/>
      <c r="H13" s="2514"/>
      <c r="I13" s="476"/>
      <c r="J13" s="1904">
        <v>1</v>
      </c>
      <c r="K13" s="1917"/>
      <c r="L13" s="1918"/>
      <c r="M13" s="1918"/>
      <c r="N13" s="2508" t="s">
        <v>1942</v>
      </c>
      <c r="O13" s="1537"/>
      <c r="P13" s="513"/>
      <c r="Q13" s="425">
        <v>22</v>
      </c>
    </row>
    <row s="1849" customFormat="1" customHeight="1" ht="23.25">
      <c r="A14" s="2122"/>
      <c r="B14" s="1162"/>
      <c r="C14" s="1162"/>
      <c r="D14" s="803"/>
      <c r="E14" s="2140"/>
      <c r="F14" s="2519"/>
      <c r="G14" s="2520"/>
      <c r="H14" s="2515"/>
      <c r="I14" s="423"/>
      <c r="J14" s="1502"/>
      <c r="K14" s="1502" t="s">
        <v>1936</v>
      </c>
      <c r="L14" s="1545"/>
      <c r="M14" s="1545"/>
      <c r="N14" s="2509"/>
      <c r="O14" s="1537"/>
      <c r="P14" s="513"/>
      <c r="Q14" s="425">
        <v>22</v>
      </c>
    </row>
    <row s="1849" customFormat="1" customHeight="1" ht="23.25">
      <c r="A15" s="2122"/>
      <c r="B15" s="1162"/>
      <c r="C15" s="414"/>
      <c r="D15" s="803"/>
      <c r="E15" s="423"/>
      <c r="F15" s="1502" t="s">
        <v>1928</v>
      </c>
      <c r="G15" s="1544"/>
      <c r="H15" s="1544"/>
      <c r="I15" s="189"/>
      <c r="J15" s="189"/>
      <c r="K15" s="189"/>
      <c r="L15" s="189"/>
      <c r="M15" s="189"/>
      <c r="N15" s="2509"/>
      <c r="O15" s="1538"/>
      <c r="P15" s="513"/>
      <c r="Q15" s="425">
        <v>22</v>
      </c>
    </row>
    <row s="1820" customFormat="1" customHeight="1" ht="22.049999999999997">
      <c r="A16" s="1157"/>
      <c r="B16" s="1162"/>
      <c r="C16" s="1157"/>
      <c r="D16" s="453"/>
      <c r="E16" s="182"/>
      <c r="F16" s="182"/>
      <c r="G16" s="182"/>
      <c r="H16" s="182"/>
      <c r="I16" s="182"/>
      <c r="J16" s="182"/>
      <c r="K16" s="182"/>
      <c r="L16" s="182"/>
      <c r="M16" s="511"/>
      <c r="N16" s="1637"/>
      <c r="O16" s="502"/>
      <c r="P16" s="502"/>
      <c r="Q16" s="509">
        <v>21</v>
      </c>
    </row>
    <row s="1820"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0"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438558-D378-7493-953F-3D900C0166E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4" width="9.140625" hidden="1"/>
    <col min="3" max="3" style="122"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23" t="s">
        <v>1943</v>
      </c>
      <c r="E5" s="2123"/>
      <c r="F5" s="2123"/>
      <c r="G5" s="2123"/>
      <c r="H5" s="2123"/>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32" t="s">
        <v>295</v>
      </c>
      <c r="E8" s="2232"/>
      <c r="F8" s="2232"/>
      <c r="G8" s="2232"/>
      <c r="H8" s="2232"/>
      <c r="I8" s="2232" t="s">
        <v>296</v>
      </c>
      <c r="M8" s="123">
        <v>14</v>
      </c>
    </row>
    <row customHeight="1" ht="29.25">
      <c r="D9" s="2232" t="s">
        <v>88</v>
      </c>
      <c r="E9" s="2232" t="s">
        <v>1944</v>
      </c>
      <c r="F9" s="2232"/>
      <c r="G9" s="2232"/>
      <c r="H9" s="2232"/>
      <c r="I9" s="2232"/>
      <c r="M9" s="123">
        <v>28</v>
      </c>
    </row>
    <row customHeight="1" ht="24">
      <c r="D10" s="2232"/>
      <c r="E10" s="129" t="s">
        <v>1945</v>
      </c>
      <c r="F10" s="129" t="s">
        <v>1946</v>
      </c>
      <c r="G10" s="129" t="s">
        <v>1947</v>
      </c>
      <c r="H10" s="129" t="s">
        <v>385</v>
      </c>
      <c r="I10" s="2232"/>
      <c r="M10" s="123">
        <v>23</v>
      </c>
    </row>
    <row customHeight="1" ht="12" hidden="1">
      <c r="D11" s="89" t="s">
        <v>106</v>
      </c>
      <c r="E11" s="89" t="s">
        <v>91</v>
      </c>
      <c r="F11" s="89" t="s">
        <v>108</v>
      </c>
      <c r="G11" s="89" t="s">
        <v>92</v>
      </c>
      <c r="H11" s="89" t="s">
        <v>93</v>
      </c>
      <c r="I11" s="89" t="s">
        <v>109</v>
      </c>
      <c r="M11" s="123">
        <v>0</v>
      </c>
    </row>
    <row s="1824" customFormat="1" customHeight="1" ht="26.25">
      <c r="A12" s="147" t="s">
        <v>90</v>
      </c>
      <c r="B12" s="127" t="s">
        <v>22</v>
      </c>
      <c r="C12" s="128"/>
      <c r="D12" s="130" t="s">
        <v>106</v>
      </c>
      <c r="E12" s="383"/>
      <c r="F12" s="383"/>
      <c r="G12" s="1735" t="s">
        <v>22</v>
      </c>
      <c r="H12" s="384"/>
      <c r="I12" s="2184" t="s">
        <v>1948</v>
      </c>
      <c r="K12" s="274"/>
      <c r="L12" s="275"/>
      <c r="M12" s="119">
        <v>25</v>
      </c>
    </row>
    <row customHeight="1" ht="15.75">
      <c r="A13" s="123"/>
      <c r="B13" s="123"/>
      <c r="C13" s="123"/>
      <c r="D13" s="111"/>
      <c r="E13" s="132" t="s">
        <v>459</v>
      </c>
      <c r="F13" s="131"/>
      <c r="G13" s="131"/>
      <c r="H13" s="216"/>
      <c r="I13" s="2186"/>
      <c r="M13" s="123">
        <v>15</v>
      </c>
    </row>
    <row customHeight="1" ht="3">
      <c r="A14" s="123"/>
      <c r="B14" s="123"/>
      <c r="C14" s="123"/>
      <c r="M14" s="123">
        <v>3</v>
      </c>
    </row>
    <row customHeight="1" ht="29.25">
      <c r="E15" s="2521" t="s">
        <v>1949</v>
      </c>
      <c r="F15" s="2521"/>
      <c r="G15" s="2521"/>
      <c r="H15" s="2521"/>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802C52-F237-4AD8-EAC8-8AA9B8CBEB2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522" t="s">
        <v>1950</v>
      </c>
      <c r="E7" s="2523"/>
      <c r="F7" s="269"/>
      <c r="J7" s="71">
        <v>22</v>
      </c>
    </row>
    <row customHeight="1" ht="3">
      <c r="C8" s="94"/>
      <c r="D8" s="72"/>
      <c r="E8" s="72"/>
      <c r="J8" s="71">
        <v>3</v>
      </c>
    </row>
    <row customHeight="1" ht="16.8">
      <c r="C9" s="94"/>
      <c r="D9" s="107" t="s">
        <v>88</v>
      </c>
      <c r="E9" s="262" t="s">
        <v>1951</v>
      </c>
      <c r="J9" s="71">
        <v>16</v>
      </c>
    </row>
    <row customHeight="1" ht="1.05">
      <c r="C10" s="94"/>
      <c r="D10" s="89"/>
      <c r="E10" s="89"/>
      <c r="J10" s="71">
        <v>1</v>
      </c>
    </row>
    <row customHeight="1" ht="11.25" hidden="1">
      <c r="C11" s="94"/>
      <c r="D11" s="152">
        <v>0</v>
      </c>
      <c r="E11" s="263"/>
      <c r="J11" s="71">
        <v>0</v>
      </c>
    </row>
    <row customHeight="1" ht="54.16666666666666">
      <c r="C12" s="138"/>
      <c r="D12" s="115">
        <v>1</v>
      </c>
      <c r="E12" s="379" t="s">
        <v>1952</v>
      </c>
      <c r="J12" s="71">
        <v>15</v>
      </c>
    </row>
    <row customHeight="1" ht="12.75">
      <c r="C13" s="94"/>
      <c r="D13" s="264"/>
      <c r="E13" s="265" t="s">
        <v>1953</v>
      </c>
      <c r="J13" s="71">
        <v>12</v>
      </c>
    </row>
    <row customHeight="1" ht="3">
      <c r="J14" s="71">
        <v>3</v>
      </c>
    </row>
    <row customHeight="1" ht="23.25">
      <c r="C15" s="139"/>
      <c r="D15" s="2524" t="s">
        <v>1954</v>
      </c>
      <c r="E15" s="2524"/>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9A5D8-F036-A587-BF18-9F4694C93163}"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23" t="s">
        <v>1955</v>
      </c>
      <c r="E7" s="2123"/>
      <c r="F7" s="269"/>
      <c r="M7" s="71">
        <v>22</v>
      </c>
    </row>
    <row customHeight="1" ht="3">
      <c r="C8" s="94"/>
      <c r="D8" s="72"/>
      <c r="E8" s="72"/>
      <c r="M8" s="71">
        <v>3</v>
      </c>
    </row>
    <row customHeight="1" ht="16.8">
      <c r="C9" s="94"/>
      <c r="D9" s="107" t="s">
        <v>88</v>
      </c>
      <c r="E9" s="110" t="s">
        <v>282</v>
      </c>
      <c r="M9" s="71">
        <v>16</v>
      </c>
    </row>
    <row customHeight="1" ht="12.75">
      <c r="C10" s="94"/>
      <c r="D10" s="89" t="s">
        <v>106</v>
      </c>
      <c r="E10" s="89" t="s">
        <v>107</v>
      </c>
      <c r="M10" s="71">
        <v>12</v>
      </c>
    </row>
    <row customHeight="1" ht="15" hidden="1">
      <c r="C11" s="94"/>
      <c r="D11" s="115">
        <v>0</v>
      </c>
      <c r="E11" s="151"/>
      <c r="M11" s="71">
        <v>0</v>
      </c>
    </row>
    <row customHeight="1" ht="14.699999999999998">
      <c r="C12" s="94"/>
      <c r="D12" s="111"/>
      <c r="E12" s="109" t="s">
        <v>1953</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01038-AED2-CC8E-36C8-E5E3CA52B57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49" width="1.7109375" customWidth="1"/>
    <col min="2" max="2" style="1849" width="34.57421875" customWidth="1"/>
    <col min="3" max="3" style="1849" width="85.00390625" customWidth="1"/>
    <col min="4" max="4" style="1849" width="17.00390625" customWidth="1"/>
    <col min="5" max="5" style="1849" width="8.00390625" customWidth="1"/>
    <col min="6" max="6" style="1849" width="9.140625" hidden="1"/>
  </cols>
  <sheetData>
    <row customHeight="1" ht="3">
      <c r="F1" s="91" t="s">
        <v>14</v>
      </c>
    </row>
    <row customHeight="1" ht="22.5">
      <c r="B2" s="2638" t="s">
        <v>1956</v>
      </c>
      <c r="C2" s="2525"/>
      <c r="D2" s="2525"/>
      <c r="E2" s="270"/>
      <c r="F2" s="91">
        <v>22</v>
      </c>
    </row>
    <row customHeight="1" ht="3">
      <c r="F3" s="91">
        <v>3</v>
      </c>
    </row>
    <row customHeight="1" ht="23.25">
      <c r="B4" s="2639" t="s">
        <v>1957</v>
      </c>
      <c r="C4" s="385" t="s">
        <v>1958</v>
      </c>
      <c r="D4" s="385" t="s">
        <v>1959</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F0EC1-08B4-AED8-7BE8-47891FAC086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49" width="26.57421875" customWidth="1"/>
    <col min="2" max="2" style="1849" width="10.00390625" customWidth="1"/>
    <col min="3" max="3" style="1849" width="9.140625"/>
    <col min="4" max="4" style="1849" width="11.140625" customWidth="1"/>
    <col min="5" max="5" style="1849" width="16.57421875" customWidth="1"/>
    <col min="6" max="6" style="1849" width="16.28125" customWidth="1"/>
    <col min="7" max="7" style="1849" width="19.140625" customWidth="1"/>
    <col min="8" max="11" style="1849" width="10.00390625" customWidth="1"/>
    <col min="12" max="12" style="1849" width="12.7109375" customWidth="1"/>
    <col min="13" max="13" style="1849" width="61.28125" customWidth="1"/>
    <col min="14" max="14" style="1849" width="10.00390625" customWidth="1"/>
    <col min="15" max="17" style="1849" width="23.7109375" customWidth="1"/>
    <col min="18" max="18" style="1849" width="11.7109375" customWidth="1"/>
    <col min="19" max="19" style="1849" width="8.57421875" customWidth="1"/>
    <col min="20" max="20" style="1849" width="11.7109375" customWidth="1"/>
    <col min="21" max="21" style="1849" width="8.57421875" customWidth="1"/>
    <col min="22" max="22" style="1849" width="4.7109375" customWidth="1"/>
    <col min="23" max="23" style="1849" width="115.7109375" customWidth="1"/>
    <col min="24" max="24" style="1849" width="115.28125" customWidth="1"/>
    <col min="25" max="27" style="1849" width="9.140625"/>
    <col min="28" max="28" style="1849" width="115.7109375" customWidth="1"/>
    <col min="29" max="29" style="1849" width="9.140625"/>
    <col min="30" max="90" style="1849" width="115.7109375" customWidth="1"/>
    <col min="91" max="184" style="1849" width="9.140625"/>
  </cols>
  <sheetData>
    <row r="2" s="1816" customFormat="1" customHeight="1" ht="17.25">
      <c r="A2" s="1816" t="s">
        <v>1960</v>
      </c>
    </row>
    <row r="4" s="266" customFormat="1" customHeight="1" ht="15">
      <c r="C4" s="1817"/>
      <c r="D4" s="115"/>
      <c r="E4" s="379"/>
    </row>
    <row r="6" s="1816" customFormat="1" customHeight="1" ht="17.25">
      <c r="A6" s="1816" t="s">
        <v>1961</v>
      </c>
    </row>
    <row r="8" s="266" customFormat="1" customHeight="1" ht="17.25">
      <c r="C8" s="1818"/>
      <c r="D8" s="115"/>
      <c r="E8" s="116"/>
    </row>
    <row r="11" s="1816" customFormat="1" customHeight="1" ht="17.25">
      <c r="A11" s="1816" t="s">
        <v>1962</v>
      </c>
    </row>
    <row r="13" s="1820" customFormat="1" customHeight="1" ht="15">
      <c r="A13" s="2252">
        <v>1</v>
      </c>
      <c r="B13" s="1162"/>
      <c r="C13" s="803" t="s">
        <v>682</v>
      </c>
      <c r="D13" s="1819"/>
      <c r="E13" s="1806">
        <f>A13</f>
        <v>1</v>
      </c>
      <c r="F13" s="806"/>
      <c r="G13" s="542" t="str">
        <f>"Территория "&amp;E13</f>
        <v>Территория 1</v>
      </c>
      <c r="H13" s="794"/>
      <c r="I13" s="794"/>
      <c r="J13" s="791"/>
      <c r="K13" s="1626"/>
      <c r="L13" s="1626"/>
      <c r="M13" s="1626"/>
      <c r="N13" s="228"/>
      <c r="O13" s="1626"/>
      <c r="P13" s="227"/>
      <c r="Q13" s="227"/>
      <c r="R13" s="227"/>
      <c r="S13" s="227"/>
    </row>
    <row s="1849" customFormat="1" customHeight="1" ht="15">
      <c r="A14" s="2252"/>
      <c r="B14" s="1162">
        <v>1</v>
      </c>
      <c r="C14" s="1162"/>
      <c r="D14" s="802"/>
      <c r="E14" s="1814"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49" customFormat="1" customHeight="1" ht="15">
      <c r="A15" s="2252"/>
      <c r="B15" s="1162"/>
      <c r="C15" s="414"/>
      <c r="D15" s="803"/>
      <c r="E15" s="423"/>
      <c r="F15" s="179"/>
      <c r="G15" s="417" t="s">
        <v>99</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6" customFormat="1" customHeight="1" ht="17.25">
      <c r="A17" s="1816" t="s">
        <v>1963</v>
      </c>
    </row>
    <row r="19" s="1849" customFormat="1" customHeight="1" ht="15">
      <c r="A19" s="1881"/>
      <c r="B19" s="1368">
        <v>1</v>
      </c>
      <c r="C19" s="1368"/>
      <c r="D19" s="802" t="s">
        <v>682</v>
      </c>
      <c r="E19" s="1877"/>
      <c r="F19" s="1882">
        <f>$F$20</f>
        <v>0</v>
      </c>
      <c r="G19" s="1886"/>
      <c r="H19" s="1886"/>
      <c r="I19" s="1884"/>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49" customFormat="1" customHeight="1" ht="15">
      <c r="A21" s="1816" t="s">
        <v>1964</v>
      </c>
      <c r="B21" s="1816"/>
      <c r="C21" s="1816"/>
      <c r="D21" s="1816"/>
      <c r="E21" s="1816"/>
      <c r="F21" s="1816"/>
      <c r="G21" s="1816"/>
      <c r="H21" s="1816"/>
      <c r="I21" s="1816"/>
      <c r="J21" s="1816"/>
      <c r="K21" s="1816"/>
      <c r="L21" s="1816"/>
      <c r="M21" s="1816"/>
      <c r="N21" s="1816"/>
      <c r="O21" s="1816"/>
      <c r="P21" s="1816"/>
      <c r="Q21" s="1816"/>
      <c r="R21" s="1816"/>
      <c r="S21" s="1816"/>
      <c r="T21" s="1816"/>
      <c r="U21" s="186"/>
      <c r="V21" s="1816"/>
      <c r="W21" s="1816"/>
    </row>
    <row s="1849" customFormat="1" customHeight="1" ht="15">
      <c r="U22" s="187"/>
    </row>
    <row s="1852" customFormat="1" customHeight="1" ht="15">
      <c r="A23" s="425"/>
      <c r="B23" s="425"/>
      <c r="C23" s="1729" t="s">
        <v>682</v>
      </c>
      <c r="D23" s="2151" t="s">
        <v>106</v>
      </c>
      <c r="E23" s="2152"/>
      <c r="F23" s="2150" t="s">
        <v>19</v>
      </c>
      <c r="G23" s="2577"/>
      <c r="H23" s="2140">
        <v>1</v>
      </c>
      <c r="I23" s="2579" t="str">
        <f>IF(U23="","",INDEX(TERRITORY_MR_LIST,MATCH(U23,TERRITORY_LIST_ID,0)))</f>
        <v/>
      </c>
      <c r="J23" s="2150" t="s">
        <v>19</v>
      </c>
      <c r="K23" s="834"/>
      <c r="L23" s="1783" t="s">
        <v>106</v>
      </c>
      <c r="M23" s="605"/>
      <c r="N23" s="606"/>
      <c r="O23" s="606"/>
      <c r="P23" s="606"/>
      <c r="Q23" s="606"/>
      <c r="R23" s="606"/>
      <c r="S23" s="606"/>
      <c r="T23" s="606"/>
      <c r="U23" s="607"/>
      <c r="V23" s="606"/>
      <c r="W23" s="606"/>
      <c r="X23" s="597"/>
      <c r="Y23" s="597" t="s">
        <v>115</v>
      </c>
      <c r="Z23" s="597">
        <v>1705000</v>
      </c>
      <c r="AA23" s="597"/>
      <c r="AB23" s="597"/>
      <c r="AC23" s="597"/>
      <c r="AD23" s="597"/>
      <c r="AE23" s="597"/>
      <c r="AF23" s="597"/>
      <c r="AG23" s="597"/>
      <c r="AH23" s="597"/>
      <c r="AI23" s="597"/>
      <c r="AJ23" s="597"/>
      <c r="AK23" s="597"/>
      <c r="AL23" s="597"/>
    </row>
    <row s="1852" customFormat="1" customHeight="1" ht="15">
      <c r="A24" s="425"/>
      <c r="B24" s="425"/>
      <c r="C24" s="178"/>
      <c r="D24" s="2151"/>
      <c r="E24" s="2153"/>
      <c r="F24" s="2150"/>
      <c r="G24" s="2578"/>
      <c r="H24" s="2140"/>
      <c r="I24" s="2580"/>
      <c r="J24" s="2150"/>
      <c r="K24" s="423"/>
      <c r="L24" s="179"/>
      <c r="M24" s="609" t="s">
        <v>116</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2" customFormat="1" customHeight="1" ht="15">
      <c r="A25" s="425"/>
      <c r="B25" s="425"/>
      <c r="C25" s="178"/>
      <c r="D25" s="2151"/>
      <c r="E25" s="2154"/>
      <c r="F25" s="2150"/>
      <c r="G25" s="423"/>
      <c r="H25" s="179"/>
      <c r="I25" s="582" t="s">
        <v>117</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49" customFormat="1" customHeight="1" ht="15">
      <c r="U26" s="187"/>
    </row>
    <row s="1849" customFormat="1" customHeight="1" ht="15">
      <c r="A27" s="1816" t="s">
        <v>1965</v>
      </c>
      <c r="B27" s="1816"/>
      <c r="C27" s="1816"/>
      <c r="D27" s="1816"/>
      <c r="E27" s="1816"/>
      <c r="F27" s="1816"/>
      <c r="G27" s="1816"/>
      <c r="H27" s="1816"/>
      <c r="I27" s="1816"/>
      <c r="J27" s="1816"/>
      <c r="K27" s="1816"/>
      <c r="L27" s="1816"/>
      <c r="M27" s="1816"/>
      <c r="N27" s="1816"/>
      <c r="O27" s="1816"/>
      <c r="P27" s="1816"/>
      <c r="Q27" s="1816"/>
      <c r="R27" s="1816"/>
      <c r="S27" s="1816"/>
      <c r="T27" s="1816"/>
      <c r="U27" s="186"/>
      <c r="V27" s="1816"/>
      <c r="W27" s="1816"/>
    </row>
    <row s="1849" customFormat="1" customHeight="1" ht="15">
      <c r="U28" s="187"/>
    </row>
    <row s="1852" customFormat="1" customHeight="1" ht="15">
      <c r="A29" s="425"/>
      <c r="B29" s="425"/>
      <c r="C29" s="178"/>
      <c r="D29" s="1822"/>
      <c r="E29" s="1822"/>
      <c r="F29" s="1822"/>
      <c r="G29" s="2581" t="s">
        <v>682</v>
      </c>
      <c r="H29" s="2126">
        <v>1</v>
      </c>
      <c r="I29" s="2582" t="str">
        <f>IF(U29="","",INDEX(TERRITORY_MR_LIST,MATCH(U29,TERRITORY_LIST_ID,0)))</f>
        <v/>
      </c>
      <c r="J29" s="2150" t="s">
        <v>19</v>
      </c>
      <c r="K29" s="834"/>
      <c r="L29" s="1783" t="s">
        <v>106</v>
      </c>
      <c r="M29" s="605"/>
      <c r="N29" s="606"/>
      <c r="O29" s="606"/>
      <c r="P29" s="606"/>
      <c r="Q29" s="606"/>
      <c r="R29" s="606"/>
      <c r="S29" s="606"/>
      <c r="T29" s="606"/>
      <c r="U29" s="607"/>
      <c r="V29" s="606"/>
      <c r="W29" s="606"/>
      <c r="X29" s="597"/>
      <c r="Y29" s="597" t="s">
        <v>115</v>
      </c>
      <c r="Z29" s="597">
        <v>1705000</v>
      </c>
      <c r="AA29" s="597"/>
      <c r="AB29" s="597"/>
      <c r="AC29" s="597"/>
      <c r="AD29" s="597"/>
      <c r="AE29" s="597"/>
      <c r="AF29" s="597"/>
      <c r="AG29" s="597"/>
      <c r="AH29" s="597"/>
      <c r="AI29" s="597"/>
      <c r="AJ29" s="597"/>
      <c r="AK29" s="597"/>
      <c r="AL29" s="597"/>
    </row>
    <row s="1852" customFormat="1" customHeight="1" ht="15">
      <c r="A30" s="425"/>
      <c r="B30" s="425"/>
      <c r="C30" s="178"/>
      <c r="D30" s="1822"/>
      <c r="E30" s="1822"/>
      <c r="F30" s="1822"/>
      <c r="G30" s="2581"/>
      <c r="H30" s="2126"/>
      <c r="I30" s="2582"/>
      <c r="J30" s="2150"/>
      <c r="K30" s="423"/>
      <c r="L30" s="179"/>
      <c r="M30" s="609" t="s">
        <v>116</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49" customFormat="1" customHeight="1" ht="15">
      <c r="U31" s="187"/>
    </row>
    <row s="1849" customFormat="1" customHeight="1" ht="15">
      <c r="A32" s="1816" t="s">
        <v>1966</v>
      </c>
      <c r="B32" s="1816"/>
      <c r="C32" s="1816"/>
      <c r="D32" s="1816"/>
      <c r="E32" s="1816"/>
      <c r="F32" s="1816"/>
      <c r="G32" s="1816"/>
      <c r="H32" s="1816"/>
      <c r="I32" s="1816"/>
      <c r="J32" s="1816"/>
      <c r="K32" s="1816"/>
      <c r="L32" s="1816"/>
      <c r="M32" s="1816"/>
      <c r="N32" s="1816"/>
      <c r="O32" s="1816"/>
      <c r="P32" s="1816"/>
      <c r="Q32" s="1816"/>
      <c r="R32" s="1816"/>
      <c r="S32" s="1816"/>
      <c r="T32" s="1816"/>
      <c r="U32" s="186"/>
      <c r="V32" s="1816"/>
      <c r="W32" s="1816"/>
    </row>
    <row s="1849" customFormat="1" customHeight="1" ht="15">
      <c r="U33" s="187"/>
    </row>
    <row s="1852" customFormat="1" customHeight="1" ht="15">
      <c r="A34" s="425"/>
      <c r="B34" s="425"/>
      <c r="C34" s="178"/>
      <c r="D34" s="1822"/>
      <c r="E34" s="1822"/>
      <c r="F34" s="1822"/>
      <c r="G34" s="1822"/>
      <c r="H34" s="1822"/>
      <c r="I34" s="1822"/>
      <c r="J34" s="1822"/>
      <c r="K34" s="1800" t="s">
        <v>682</v>
      </c>
      <c r="L34" s="1730" t="s">
        <v>106</v>
      </c>
      <c r="M34" s="813"/>
      <c r="N34" s="814"/>
      <c r="O34" s="606"/>
      <c r="P34" s="606"/>
      <c r="Q34" s="606"/>
      <c r="R34" s="606"/>
      <c r="S34" s="606"/>
      <c r="T34" s="606"/>
      <c r="U34" s="607"/>
      <c r="V34" s="606"/>
      <c r="W34" s="606"/>
      <c r="X34" s="597"/>
      <c r="Y34" s="597" t="s">
        <v>115</v>
      </c>
      <c r="Z34" s="597">
        <v>1705000</v>
      </c>
      <c r="AA34" s="597"/>
      <c r="AB34" s="597"/>
      <c r="AC34" s="597"/>
      <c r="AD34" s="597"/>
      <c r="AE34" s="597"/>
      <c r="AF34" s="597"/>
      <c r="AG34" s="597"/>
      <c r="AH34" s="597"/>
      <c r="AI34" s="597"/>
      <c r="AJ34" s="597"/>
      <c r="AK34" s="597"/>
      <c r="AL34" s="597"/>
    </row>
    <row s="1849" customFormat="1" customHeight="1" ht="15">
      <c r="U35" s="187"/>
    </row>
    <row s="1849" customFormat="1" customHeight="1" ht="15">
      <c r="U36" s="187"/>
    </row>
    <row s="1816" customFormat="1" customHeight="1" ht="11.25">
      <c r="A37" s="1816" t="s">
        <v>1967</v>
      </c>
    </row>
    <row customHeight="1" ht="11.25"/>
    <row s="457" customFormat="1" customHeight="1" ht="22.5">
      <c r="A39" s="1792"/>
      <c r="B39" s="459"/>
      <c r="C39" s="861"/>
      <c r="D39" s="442"/>
      <c r="E39" s="862"/>
      <c r="F39" s="1813"/>
      <c r="G39" s="1823"/>
      <c r="H39" s="477"/>
    </row>
    <row customHeight="1" ht="11.25"/>
    <row s="1816" customFormat="1" customHeight="1" ht="11.25">
      <c r="A41" s="1816" t="s">
        <v>1968</v>
      </c>
    </row>
    <row customHeight="1" ht="11.25"/>
    <row s="457" customFormat="1" customHeight="1" ht="22.5">
      <c r="A43" s="459"/>
      <c r="B43" s="459"/>
      <c r="C43" s="459"/>
      <c r="D43" s="442"/>
      <c r="E43" s="862"/>
      <c r="F43" s="863"/>
      <c r="G43" s="1823"/>
      <c r="H43" s="477"/>
    </row>
    <row customHeight="1" ht="11.25"/>
    <row s="1816" customFormat="1" customHeight="1" ht="11.25">
      <c r="A45" s="1816" t="s">
        <v>1969</v>
      </c>
    </row>
    <row customHeight="1" ht="11.25"/>
    <row s="457" customFormat="1" customHeight="1" ht="24">
      <c r="A47" s="2225" t="s">
        <v>308</v>
      </c>
      <c r="B47" s="504"/>
      <c r="C47" s="2236"/>
      <c r="D47" s="447" t="str">
        <f>A47</f>
        <v>5.1</v>
      </c>
      <c r="E47" s="444" t="s">
        <v>309</v>
      </c>
      <c r="F47" s="1975" t="s">
        <v>301</v>
      </c>
      <c r="G47" s="446" t="s">
        <v>310</v>
      </c>
      <c r="H47" s="477"/>
      <c r="I47" s="854"/>
    </row>
    <row s="457" customFormat="1" customHeight="1" ht="22.5">
      <c r="A48" s="2225"/>
      <c r="B48" s="504"/>
      <c r="C48" s="2236"/>
      <c r="D48" s="442" t="str">
        <f>D47&amp;".1"</f>
        <v>5.1.1</v>
      </c>
      <c r="E48" s="441" t="s">
        <v>311</v>
      </c>
      <c r="F48" s="1976" t="s">
        <v>22</v>
      </c>
      <c r="G48" s="476"/>
      <c r="H48" s="477"/>
      <c r="I48" s="854"/>
    </row>
    <row s="457" customFormat="1" customHeight="1" ht="22.5">
      <c r="A49" s="2225"/>
      <c r="B49" s="504"/>
      <c r="C49" s="2236"/>
      <c r="D49" s="442" t="str">
        <f>D47&amp;".2"</f>
        <v>5.1.2</v>
      </c>
      <c r="E49" s="441" t="s">
        <v>312</v>
      </c>
      <c r="F49" s="1733" t="s">
        <v>22</v>
      </c>
      <c r="G49" s="446" t="s">
        <v>313</v>
      </c>
      <c r="H49" s="477"/>
      <c r="I49" s="854"/>
    </row>
    <row s="457" customFormat="1" customHeight="1" ht="22.5">
      <c r="A50" s="2225"/>
      <c r="B50" s="504"/>
      <c r="C50" s="2236"/>
      <c r="D50" s="442" t="str">
        <f>D47&amp;".3"</f>
        <v>5.1.3</v>
      </c>
      <c r="E50" s="441" t="s">
        <v>314</v>
      </c>
      <c r="F50" s="1976" t="s">
        <v>22</v>
      </c>
      <c r="G50" s="476"/>
      <c r="H50" s="477"/>
      <c r="I50" s="854"/>
    </row>
    <row s="457" customFormat="1" customHeight="1" ht="22.5">
      <c r="A51" s="2225"/>
      <c r="B51" s="504"/>
      <c r="C51" s="2236"/>
      <c r="D51" s="442" t="str">
        <f>D47&amp;".4"</f>
        <v>5.1.4</v>
      </c>
      <c r="E51" s="441" t="s">
        <v>315</v>
      </c>
      <c r="F51" s="1976" t="s">
        <v>22</v>
      </c>
      <c r="G51" s="446" t="s">
        <v>316</v>
      </c>
      <c r="H51" s="477"/>
      <c r="I51" s="854"/>
    </row>
    <row r="54" s="1816" customFormat="1" customHeight="1" ht="17.25">
      <c r="A54" s="1816" t="s">
        <v>1970</v>
      </c>
    </row>
    <row r="56" s="1614" customFormat="1" customHeight="1" ht="18.75">
      <c r="A56" s="91"/>
      <c r="B56" s="1824"/>
      <c r="C56" s="1824"/>
      <c r="D56" s="1825"/>
      <c r="E56" s="1810"/>
      <c r="F56" s="870">
        <v>13</v>
      </c>
      <c r="G56" s="869"/>
      <c r="H56" s="795"/>
      <c r="I56" s="793"/>
      <c r="J56" s="522" t="s">
        <v>65</v>
      </c>
      <c r="K56" s="1826" t="s">
        <v>22</v>
      </c>
      <c r="L56" s="91"/>
      <c r="M56" s="1638"/>
      <c r="N56" s="1638"/>
      <c r="O56" s="1638"/>
      <c r="P56" s="518" t="s">
        <v>387</v>
      </c>
      <c r="Q56" s="518" t="s">
        <v>388</v>
      </c>
      <c r="R56" s="519" t="s">
        <v>389</v>
      </c>
      <c r="S56" s="1638" t="s">
        <v>390</v>
      </c>
      <c r="T56" s="1638"/>
      <c r="U56" s="1638"/>
      <c r="V56" s="1638"/>
    </row>
    <row r="58" s="1816" customFormat="1" customHeight="1" ht="11.25">
      <c r="A58" s="1816" t="s">
        <v>1971</v>
      </c>
    </row>
    <row r="60" s="1637" customFormat="1" customHeight="1" ht="14.25">
      <c r="C60" s="1689"/>
      <c r="D60" s="1868"/>
      <c r="E60" s="1778" t="s">
        <v>22</v>
      </c>
      <c r="F60" s="1867"/>
      <c r="G60" s="858"/>
      <c r="H60" s="1779"/>
      <c r="I60" s="1779"/>
      <c r="J60" s="435"/>
      <c r="K60" s="1862"/>
      <c r="L60" s="434"/>
      <c r="M60" s="1862"/>
      <c r="N60" s="435"/>
      <c r="O60" s="1862"/>
      <c r="P60" s="435"/>
      <c r="Q60" s="1862"/>
      <c r="R60" s="435"/>
      <c r="S60" s="856"/>
      <c r="T60" s="1779"/>
      <c r="U60" s="435"/>
      <c r="V60" s="435"/>
      <c r="W60" s="1866"/>
      <c r="X60" s="1779"/>
      <c r="Y60" s="435"/>
      <c r="Z60" s="435"/>
      <c r="AA60" s="1866"/>
      <c r="AB60" s="1779"/>
      <c r="AC60" s="435"/>
      <c r="AD60" s="1866"/>
      <c r="AE60" s="91"/>
      <c r="AF60" s="91"/>
      <c r="AG60" s="91"/>
      <c r="AH60" s="91"/>
      <c r="AJ60" s="1638"/>
      <c r="AK60" s="1638"/>
      <c r="AL60" s="1638"/>
      <c r="AM60" s="1638"/>
      <c r="AN60" s="1638"/>
      <c r="AO60" s="1638"/>
      <c r="AP60" s="1626" t="s">
        <v>376</v>
      </c>
      <c r="AQ60" s="1626" t="s">
        <v>376</v>
      </c>
      <c r="AR60" s="1638"/>
      <c r="AS60" s="1638"/>
    </row>
    <row r="62" s="1816" customFormat="1" customHeight="1" ht="11.25">
      <c r="A62" s="1816" t="s">
        <v>1972</v>
      </c>
    </row>
    <row r="64" s="1824" customFormat="1" customHeight="1" ht="15">
      <c r="A64" s="147" t="s">
        <v>90</v>
      </c>
      <c r="B64" s="127" t="s">
        <v>22</v>
      </c>
      <c r="C64" s="1827"/>
      <c r="D64" s="130"/>
      <c r="E64" s="383"/>
      <c r="F64" s="383"/>
      <c r="G64" s="1804"/>
      <c r="H64" s="1826"/>
      <c r="I64" s="1805"/>
      <c r="K64" s="274"/>
      <c r="L64" s="275"/>
    </row>
    <row r="66" s="1816" customFormat="1" customHeight="1" ht="11.25">
      <c r="A66" s="1816" t="s">
        <v>1973</v>
      </c>
    </row>
    <row r="68" s="1637" customFormat="1" customHeight="1" ht="14.25">
      <c r="A68" s="345"/>
      <c r="B68" s="1162"/>
      <c r="C68" s="378"/>
      <c r="D68" s="1811"/>
      <c r="E68" s="888"/>
      <c r="F68" s="1826"/>
      <c r="G68" s="91"/>
      <c r="I68" s="1626"/>
      <c r="J68" s="1626"/>
    </row>
    <row r="70" s="1816" customFormat="1" customHeight="1" ht="11.25">
      <c r="A70" s="1816" t="s">
        <v>1974</v>
      </c>
    </row>
    <row r="72" s="1637" customFormat="1" customHeight="1" ht="27">
      <c r="A72" s="1168"/>
      <c r="B72" s="1168"/>
      <c r="C72" s="1168"/>
      <c r="D72" s="1162"/>
      <c r="E72" s="1828"/>
      <c r="F72" s="2526"/>
      <c r="G72" s="2527"/>
      <c r="H72" s="2528" t="s">
        <v>65</v>
      </c>
      <c r="I72" s="2530"/>
      <c r="J72" s="2532"/>
      <c r="K72" s="2534"/>
      <c r="L72" s="2548"/>
      <c r="M72" s="2548"/>
      <c r="N72" s="2589"/>
      <c r="O72" s="2589"/>
      <c r="P72" s="2590">
        <f>DATEDIF(DATEVALUE(N72),DATEVALUE(O72),"y")&amp;"г. "&amp;DATEDIF(DATEVALUE(N72),DATEVALUE(O72),"ym")&amp;"мес. "&amp;DATEVALUE(O72)-DATE(YEAR(DATEVALUE(O72)),MONTH(DATEVALUE(O72)),1)&amp;"дн. "</f>
      </c>
      <c r="Q72" s="2550"/>
      <c r="R72" s="2550"/>
      <c r="S72" s="2550"/>
      <c r="T72" s="2532"/>
      <c r="U72" s="2550"/>
      <c r="V72" s="2550"/>
      <c r="W72" s="2550"/>
      <c r="X72" s="2532"/>
      <c r="Y72" s="2587" t="s">
        <v>65</v>
      </c>
      <c r="Z72" s="1809"/>
      <c r="AA72" s="1793">
        <v>1</v>
      </c>
      <c r="AB72" s="1244"/>
      <c r="AD72" s="1638" t="s">
        <v>1975</v>
      </c>
    </row>
    <row s="1637" customFormat="1" customHeight="1" ht="10.5">
      <c r="A73" s="1168"/>
      <c r="B73" s="1168"/>
      <c r="C73" s="1168"/>
      <c r="D73" s="1162"/>
      <c r="E73" s="949"/>
      <c r="F73" s="2526"/>
      <c r="G73" s="2527"/>
      <c r="H73" s="2529"/>
      <c r="I73" s="2531"/>
      <c r="J73" s="2533"/>
      <c r="K73" s="2534"/>
      <c r="L73" s="2548"/>
      <c r="M73" s="2548"/>
      <c r="N73" s="2589"/>
      <c r="O73" s="2589"/>
      <c r="P73" s="2590"/>
      <c r="Q73" s="2550"/>
      <c r="R73" s="2550"/>
      <c r="S73" s="2550"/>
      <c r="T73" s="2533"/>
      <c r="U73" s="2550"/>
      <c r="V73" s="2550"/>
      <c r="W73" s="2550"/>
      <c r="X73" s="2533"/>
      <c r="Y73" s="2588"/>
      <c r="Z73" s="349"/>
      <c r="AA73" s="574"/>
      <c r="AB73" s="654" t="s">
        <v>1008</v>
      </c>
    </row>
    <row r="75" s="1816" customFormat="1" customHeight="1" ht="11.25">
      <c r="A75" s="1816" t="s">
        <v>1976</v>
      </c>
    </row>
    <row r="77" s="1637" customFormat="1" customHeight="1" ht="27">
      <c r="A77" s="1168"/>
      <c r="B77" s="1168"/>
      <c r="C77" s="1168"/>
      <c r="D77" s="1162"/>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4"/>
      <c r="AD77" s="1638" t="s">
        <v>1975</v>
      </c>
    </row>
    <row r="79" s="1816" customFormat="1" customHeight="1" ht="11.25">
      <c r="A79" s="1816" t="s">
        <v>1977</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87"/>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7" customFormat="1" customHeight="1" ht="0.75">
      <c r="A82" s="1168"/>
      <c r="B82" s="1168"/>
      <c r="C82" s="1168"/>
      <c r="D82" s="1162"/>
      <c r="E82" s="1172"/>
      <c r="F82" s="2593"/>
      <c r="G82" s="2549"/>
      <c r="H82" s="2596" t="s">
        <v>371</v>
      </c>
      <c r="I82" s="2597"/>
      <c r="J82" s="2598"/>
      <c r="K82" s="2598"/>
      <c r="L82" s="2591"/>
      <c r="M82" s="2274"/>
      <c r="N82" s="2035"/>
      <c r="O82" s="2034"/>
      <c r="P82" s="2035"/>
      <c r="Q82" s="2035"/>
      <c r="R82" s="2035"/>
      <c r="S82" s="2035"/>
      <c r="T82" s="2035"/>
      <c r="U82" s="2035"/>
      <c r="V82" s="2035"/>
      <c r="W82" s="2035"/>
      <c r="X82" s="2035"/>
      <c r="Y82" s="2035"/>
      <c r="Z82" s="2035"/>
      <c r="AA82" s="2035"/>
      <c r="AB82" s="2035"/>
      <c r="AC82" s="2035"/>
      <c r="AD82" s="2035"/>
      <c r="AE82" s="2035"/>
      <c r="AF82" s="2595"/>
      <c r="AG82" s="2591"/>
      <c r="AH82" s="2591"/>
      <c r="AI82" s="2595"/>
      <c r="AJ82" s="2591"/>
      <c r="AK82" s="2591"/>
      <c r="AL82" s="1987"/>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7" customFormat="1" customHeight="1" ht="0.75">
      <c r="A83" s="1168"/>
      <c r="B83" s="1168"/>
      <c r="C83" s="1168"/>
      <c r="D83" s="1162"/>
      <c r="E83" s="1172"/>
      <c r="F83" s="2593"/>
      <c r="G83" s="2549"/>
      <c r="H83" s="2596"/>
      <c r="I83" s="2597"/>
      <c r="J83" s="2598"/>
      <c r="K83" s="2598"/>
      <c r="L83" s="2591"/>
      <c r="M83" s="2274"/>
      <c r="N83" s="2599"/>
      <c r="O83" s="2600"/>
      <c r="P83" s="2535"/>
      <c r="Q83" s="2538"/>
      <c r="R83" s="2538"/>
      <c r="S83" s="2538"/>
      <c r="T83" s="2538"/>
      <c r="U83" s="2538"/>
      <c r="V83" s="2538"/>
      <c r="W83" s="2538"/>
      <c r="X83" s="2538"/>
      <c r="Y83" s="2538"/>
      <c r="Z83" s="2036"/>
      <c r="AA83" s="2037"/>
      <c r="AB83" s="2037"/>
      <c r="AC83" s="2038"/>
      <c r="AD83" s="2038"/>
      <c r="AE83" s="2039"/>
      <c r="AF83" s="2595"/>
      <c r="AG83" s="2591"/>
      <c r="AH83" s="2591"/>
      <c r="AI83" s="2595"/>
      <c r="AJ83" s="2591"/>
      <c r="AK83" s="2591"/>
      <c r="AL83" s="1987"/>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7" customFormat="1" customHeight="1" ht="0.75">
      <c r="A84" s="1168"/>
      <c r="B84" s="1168"/>
      <c r="C84" s="1168"/>
      <c r="D84" s="1162"/>
      <c r="E84" s="1172"/>
      <c r="F84" s="2593"/>
      <c r="G84" s="2549"/>
      <c r="H84" s="2596"/>
      <c r="I84" s="2597"/>
      <c r="J84" s="2598"/>
      <c r="K84" s="2598"/>
      <c r="L84" s="2591"/>
      <c r="M84" s="2274"/>
      <c r="N84" s="2599"/>
      <c r="O84" s="2600"/>
      <c r="P84" s="2536"/>
      <c r="Q84" s="2538"/>
      <c r="R84" s="2538"/>
      <c r="S84" s="2538"/>
      <c r="T84" s="2538"/>
      <c r="U84" s="2538"/>
      <c r="V84" s="2538"/>
      <c r="W84" s="2538"/>
      <c r="X84" s="2538"/>
      <c r="Y84" s="2538"/>
      <c r="Z84" s="2040"/>
      <c r="AA84" s="2041"/>
      <c r="AB84" s="2042"/>
      <c r="AC84" s="2043"/>
      <c r="AD84" s="2042"/>
      <c r="AE84" s="2043"/>
      <c r="AF84" s="2595"/>
      <c r="AG84" s="2591"/>
      <c r="AH84" s="2591"/>
      <c r="AI84" s="2595"/>
      <c r="AJ84" s="2591"/>
      <c r="AK84" s="2591"/>
      <c r="AL84" s="1987"/>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7" customFormat="1" customHeight="1" ht="0.75">
      <c r="A85" s="1168"/>
      <c r="B85" s="1168"/>
      <c r="C85" s="1168"/>
      <c r="D85" s="1162"/>
      <c r="E85" s="1172"/>
      <c r="F85" s="2593"/>
      <c r="G85" s="2549"/>
      <c r="H85" s="2596"/>
      <c r="I85" s="2597"/>
      <c r="J85" s="2598"/>
      <c r="K85" s="2598"/>
      <c r="L85" s="2591"/>
      <c r="M85" s="2274"/>
      <c r="N85" s="2599"/>
      <c r="O85" s="2600"/>
      <c r="P85" s="2537"/>
      <c r="Q85" s="2538"/>
      <c r="R85" s="2538"/>
      <c r="S85" s="2538"/>
      <c r="T85" s="2538"/>
      <c r="U85" s="2538"/>
      <c r="V85" s="2538"/>
      <c r="W85" s="2538"/>
      <c r="X85" s="2538"/>
      <c r="Y85" s="2538"/>
      <c r="Z85" s="2036"/>
      <c r="AA85" s="2037"/>
      <c r="AB85" s="2044"/>
      <c r="AC85" s="2038"/>
      <c r="AD85" s="2038"/>
      <c r="AE85" s="2045"/>
      <c r="AF85" s="2595"/>
      <c r="AG85" s="2591"/>
      <c r="AH85" s="2591"/>
      <c r="AI85" s="2595"/>
      <c r="AJ85" s="2591"/>
      <c r="AK85" s="2591"/>
      <c r="AL85" s="1987"/>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7" customFormat="1" customHeight="1" ht="0.75">
      <c r="A86" s="1168"/>
      <c r="B86" s="1168"/>
      <c r="C86" s="1168"/>
      <c r="D86" s="1162"/>
      <c r="E86" s="1172"/>
      <c r="F86" s="2593"/>
      <c r="G86" s="2549"/>
      <c r="H86" s="2596"/>
      <c r="I86" s="2597"/>
      <c r="J86" s="2598"/>
      <c r="K86" s="2598"/>
      <c r="L86" s="2591"/>
      <c r="M86" s="2274"/>
      <c r="N86" s="2037"/>
      <c r="O86" s="2037"/>
      <c r="P86" s="2044"/>
      <c r="Q86" s="2037"/>
      <c r="R86" s="2037"/>
      <c r="S86" s="2037"/>
      <c r="T86" s="2037"/>
      <c r="U86" s="2037"/>
      <c r="V86" s="2037"/>
      <c r="W86" s="2037"/>
      <c r="X86" s="2037"/>
      <c r="Y86" s="2037"/>
      <c r="Z86" s="2037"/>
      <c r="AA86" s="2037"/>
      <c r="AB86" s="2037"/>
      <c r="AC86" s="2037"/>
      <c r="AD86" s="2037"/>
      <c r="AE86" s="2046"/>
      <c r="AF86" s="2595"/>
      <c r="AG86" s="2591"/>
      <c r="AH86" s="2591"/>
      <c r="AI86" s="2595"/>
      <c r="AJ86" s="2591"/>
      <c r="AK86" s="2591"/>
      <c r="AL86" s="1987"/>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7" customFormat="1" customHeight="1" ht="12">
      <c r="A87" s="1168"/>
      <c r="B87" s="1168"/>
      <c r="C87" s="1168"/>
      <c r="D87" s="1162"/>
      <c r="E87" s="1172"/>
      <c r="F87" s="2594"/>
      <c r="G87" s="1192"/>
      <c r="H87" s="1192"/>
      <c r="I87" s="2592" t="s">
        <v>1061</v>
      </c>
      <c r="J87" s="2592"/>
      <c r="K87" s="2592"/>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87"/>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1978</v>
      </c>
    </row>
    <row r="91" s="1637" customFormat="1" customHeight="1" ht="11.25">
      <c r="A91" s="1168"/>
      <c r="B91" s="1168"/>
      <c r="C91" s="1168"/>
      <c r="D91" s="1162"/>
      <c r="E91" s="1172"/>
      <c r="F91" s="1830"/>
      <c r="G91" s="1831"/>
      <c r="H91" s="1831"/>
      <c r="I91" s="1765"/>
      <c r="J91" s="1765"/>
      <c r="K91" s="1832"/>
      <c r="L91" s="1765"/>
      <c r="M91" s="1831"/>
      <c r="N91" s="2539"/>
      <c r="O91" s="2540">
        <v>1</v>
      </c>
      <c r="P91" s="2541" t="s">
        <v>19</v>
      </c>
      <c r="Q91" s="2544" t="s">
        <v>22</v>
      </c>
      <c r="R91" s="2544" t="s">
        <v>22</v>
      </c>
      <c r="S91" s="2544" t="s">
        <v>22</v>
      </c>
      <c r="T91" s="2544" t="s">
        <v>22</v>
      </c>
      <c r="U91" s="2544" t="s">
        <v>22</v>
      </c>
      <c r="V91" s="2544" t="s">
        <v>22</v>
      </c>
      <c r="W91" s="2544" t="s">
        <v>22</v>
      </c>
      <c r="X91" s="2544" t="s">
        <v>22</v>
      </c>
      <c r="Y91" s="2544"/>
      <c r="Z91" s="1177"/>
      <c r="AA91" s="1178"/>
      <c r="AB91" s="1178"/>
      <c r="AC91" s="1182"/>
      <c r="AD91" s="1182"/>
      <c r="AE91" s="1182"/>
      <c r="AF91" s="2089"/>
      <c r="AG91" s="1760"/>
      <c r="AH91" s="1760"/>
      <c r="AI91" s="2089"/>
      <c r="AJ91" s="1760"/>
      <c r="AK91" s="1986"/>
      <c r="AL91" s="1987"/>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7" customFormat="1" customHeight="1" ht="11.25">
      <c r="A92" s="1168"/>
      <c r="B92" s="1168"/>
      <c r="C92" s="1168"/>
      <c r="D92" s="1162"/>
      <c r="E92" s="1172"/>
      <c r="F92" s="1830"/>
      <c r="G92" s="1831"/>
      <c r="H92" s="1831"/>
      <c r="I92" s="1766"/>
      <c r="J92" s="1766"/>
      <c r="K92" s="1832"/>
      <c r="L92" s="1766"/>
      <c r="M92" s="1831"/>
      <c r="N92" s="2539"/>
      <c r="O92" s="2540"/>
      <c r="P92" s="2542"/>
      <c r="Q92" s="2544"/>
      <c r="R92" s="2544"/>
      <c r="S92" s="2545"/>
      <c r="T92" s="2544"/>
      <c r="U92" s="2544"/>
      <c r="V92" s="2544"/>
      <c r="W92" s="2544"/>
      <c r="X92" s="2544"/>
      <c r="Y92" s="2544"/>
      <c r="Z92" s="1829"/>
      <c r="AA92" s="1795">
        <v>1</v>
      </c>
      <c r="AB92" s="1181"/>
      <c r="AC92" s="1171"/>
      <c r="AD92" s="1181">
        <f>AB92</f>
        <v>0</v>
      </c>
      <c r="AE92" s="726"/>
      <c r="AF92" s="2090"/>
      <c r="AG92" s="1760"/>
      <c r="AH92" s="1760"/>
      <c r="AI92" s="2090"/>
      <c r="AJ92" s="1760"/>
      <c r="AK92" s="1986"/>
      <c r="AL92" s="1987"/>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7" customFormat="1" customHeight="1" ht="11.25">
      <c r="A93" s="1168"/>
      <c r="B93" s="1168"/>
      <c r="C93" s="1168"/>
      <c r="D93" s="1162"/>
      <c r="E93" s="1172"/>
      <c r="F93" s="1830"/>
      <c r="G93" s="1831"/>
      <c r="H93" s="1831"/>
      <c r="I93" s="1767"/>
      <c r="J93" s="1767"/>
      <c r="K93" s="1832"/>
      <c r="L93" s="1767"/>
      <c r="M93" s="1831"/>
      <c r="N93" s="2539"/>
      <c r="O93" s="2540"/>
      <c r="P93" s="2543"/>
      <c r="Q93" s="2544"/>
      <c r="R93" s="2544"/>
      <c r="S93" s="2545"/>
      <c r="T93" s="2544"/>
      <c r="U93" s="2544"/>
      <c r="V93" s="2544"/>
      <c r="W93" s="2544"/>
      <c r="X93" s="2544"/>
      <c r="Y93" s="2544"/>
      <c r="Z93" s="1177"/>
      <c r="AA93" s="1178"/>
      <c r="AB93" s="1243" t="s">
        <v>1051</v>
      </c>
      <c r="AC93" s="1182"/>
      <c r="AD93" s="1182"/>
      <c r="AE93" s="1182"/>
      <c r="AF93" s="2091"/>
      <c r="AG93" s="1760"/>
      <c r="AH93" s="1760"/>
      <c r="AI93" s="2091"/>
      <c r="AJ93" s="1760"/>
      <c r="AK93" s="1986"/>
      <c r="AL93" s="1987"/>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1979</v>
      </c>
    </row>
    <row r="97" s="1637" customFormat="1" customHeight="1" ht="11.25">
      <c r="A97" s="1168"/>
      <c r="B97" s="1168"/>
      <c r="C97" s="1168"/>
      <c r="D97" s="1162"/>
      <c r="E97" s="1172"/>
      <c r="F97" s="1831"/>
      <c r="G97" s="1831"/>
      <c r="H97" s="1831"/>
      <c r="I97" s="1831"/>
      <c r="J97" s="1831"/>
      <c r="K97" s="1831"/>
      <c r="L97" s="1831"/>
      <c r="M97" s="1831"/>
      <c r="N97" s="1831"/>
      <c r="O97" s="1831"/>
      <c r="P97" s="1831"/>
      <c r="Q97" s="1831"/>
      <c r="R97" s="1831"/>
      <c r="S97" s="1831"/>
      <c r="T97" s="1831"/>
      <c r="U97" s="1831"/>
      <c r="V97" s="1831"/>
      <c r="W97" s="1831"/>
      <c r="X97" s="1831"/>
      <c r="Y97" s="1831"/>
      <c r="Z97" s="1833"/>
      <c r="AA97" s="1815">
        <v>1</v>
      </c>
      <c r="AB97" s="1181"/>
      <c r="AC97" s="1171"/>
      <c r="AD97" s="1181">
        <f>AB97</f>
        <v>0</v>
      </c>
      <c r="AE97" s="1171"/>
      <c r="AF97" s="2088"/>
      <c r="AG97" s="1760"/>
      <c r="AH97" s="1760"/>
      <c r="AI97" s="2088"/>
      <c r="AJ97" s="1760"/>
      <c r="AK97" s="1986"/>
      <c r="AL97" s="1987"/>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1980</v>
      </c>
    </row>
    <row r="101" s="1637" customFormat="1" customHeight="1" ht="11.25">
      <c r="A101" s="1168"/>
      <c r="B101" s="1168"/>
      <c r="C101" s="1168"/>
      <c r="D101" s="1162"/>
      <c r="E101" s="1172"/>
      <c r="F101" s="1830"/>
      <c r="G101" s="1831"/>
      <c r="H101" s="2549" t="s">
        <v>106</v>
      </c>
      <c r="I101" s="2613"/>
      <c r="J101" s="2518"/>
      <c r="K101" s="2611"/>
      <c r="L101" s="2150" t="s">
        <v>19</v>
      </c>
      <c r="M101" s="2151"/>
      <c r="N101" s="1985"/>
      <c r="O101" s="1179" t="s">
        <v>371</v>
      </c>
      <c r="P101" s="1180"/>
      <c r="Q101" s="1180"/>
      <c r="R101" s="1180"/>
      <c r="S101" s="1180"/>
      <c r="T101" s="1180"/>
      <c r="U101" s="1180"/>
      <c r="V101" s="1180"/>
      <c r="W101" s="1180"/>
      <c r="X101" s="1180"/>
      <c r="Y101" s="1180"/>
      <c r="Z101" s="1180"/>
      <c r="AA101" s="1180"/>
      <c r="AB101" s="1180"/>
      <c r="AC101" s="1180"/>
      <c r="AD101" s="1180"/>
      <c r="AE101" s="1180"/>
      <c r="AF101" s="2614"/>
      <c r="AG101" s="2615"/>
      <c r="AH101" s="2615"/>
      <c r="AI101" s="2614"/>
      <c r="AJ101" s="2615"/>
      <c r="AK101" s="2615"/>
      <c r="AL101" s="1987"/>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7" customFormat="1" customHeight="1" ht="11.25">
      <c r="A102" s="1168"/>
      <c r="B102" s="1168"/>
      <c r="C102" s="1168"/>
      <c r="D102" s="1162"/>
      <c r="E102" s="1172"/>
      <c r="F102" s="1830"/>
      <c r="G102" s="1831"/>
      <c r="H102" s="2549"/>
      <c r="I102" s="2613"/>
      <c r="J102" s="2518"/>
      <c r="K102" s="2611"/>
      <c r="L102" s="2150"/>
      <c r="M102" s="2151"/>
      <c r="N102" s="2539"/>
      <c r="O102" s="2616">
        <v>1</v>
      </c>
      <c r="P102" s="2541" t="s">
        <v>19</v>
      </c>
      <c r="Q102" s="2544" t="s">
        <v>22</v>
      </c>
      <c r="R102" s="2544" t="s">
        <v>22</v>
      </c>
      <c r="S102" s="2544" t="s">
        <v>22</v>
      </c>
      <c r="T102" s="2544" t="s">
        <v>22</v>
      </c>
      <c r="U102" s="2544" t="s">
        <v>22</v>
      </c>
      <c r="V102" s="2544" t="s">
        <v>22</v>
      </c>
      <c r="W102" s="2544" t="s">
        <v>22</v>
      </c>
      <c r="X102" s="2544" t="s">
        <v>22</v>
      </c>
      <c r="Y102" s="2544"/>
      <c r="Z102" s="1177"/>
      <c r="AA102" s="1178"/>
      <c r="AB102" s="1178"/>
      <c r="AC102" s="1182"/>
      <c r="AD102" s="1182"/>
      <c r="AE102" s="1183"/>
      <c r="AF102" s="2614"/>
      <c r="AG102" s="2615"/>
      <c r="AH102" s="2615"/>
      <c r="AI102" s="2614"/>
      <c r="AJ102" s="2615"/>
      <c r="AK102" s="2615"/>
      <c r="AL102" s="1987"/>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7" customFormat="1" customHeight="1" ht="11.25">
      <c r="A103" s="1168"/>
      <c r="B103" s="1168"/>
      <c r="C103" s="1168"/>
      <c r="D103" s="1162"/>
      <c r="E103" s="1172"/>
      <c r="F103" s="1830"/>
      <c r="G103" s="1831"/>
      <c r="H103" s="2549"/>
      <c r="I103" s="2613"/>
      <c r="J103" s="2518"/>
      <c r="K103" s="2611"/>
      <c r="L103" s="2150"/>
      <c r="M103" s="2151"/>
      <c r="N103" s="2539"/>
      <c r="O103" s="2616"/>
      <c r="P103" s="2542"/>
      <c r="Q103" s="2544"/>
      <c r="R103" s="2544"/>
      <c r="S103" s="2545"/>
      <c r="T103" s="2544"/>
      <c r="U103" s="2544"/>
      <c r="V103" s="2544"/>
      <c r="W103" s="2544"/>
      <c r="X103" s="2544"/>
      <c r="Y103" s="2544"/>
      <c r="Z103" s="1829"/>
      <c r="AA103" s="1795">
        <v>1</v>
      </c>
      <c r="AB103" s="1181"/>
      <c r="AC103" s="1171"/>
      <c r="AD103" s="1181">
        <f>AB103</f>
        <v>0</v>
      </c>
      <c r="AE103" s="1171"/>
      <c r="AF103" s="2614"/>
      <c r="AG103" s="2615"/>
      <c r="AH103" s="2615"/>
      <c r="AI103" s="2614"/>
      <c r="AJ103" s="2615"/>
      <c r="AK103" s="2615"/>
      <c r="AL103" s="1987"/>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7" customFormat="1" customHeight="1" ht="11.25">
      <c r="A104" s="1168"/>
      <c r="B104" s="1168"/>
      <c r="C104" s="1168"/>
      <c r="D104" s="1162"/>
      <c r="E104" s="1172"/>
      <c r="F104" s="1830"/>
      <c r="G104" s="1831"/>
      <c r="H104" s="2549"/>
      <c r="I104" s="2613"/>
      <c r="J104" s="2518"/>
      <c r="K104" s="2611"/>
      <c r="L104" s="2150"/>
      <c r="M104" s="2151"/>
      <c r="N104" s="2539"/>
      <c r="O104" s="2616"/>
      <c r="P104" s="2543"/>
      <c r="Q104" s="2544"/>
      <c r="R104" s="2544"/>
      <c r="S104" s="2545"/>
      <c r="T104" s="2544"/>
      <c r="U104" s="2544"/>
      <c r="V104" s="2544"/>
      <c r="W104" s="2544"/>
      <c r="X104" s="2544"/>
      <c r="Y104" s="2544"/>
      <c r="Z104" s="1177"/>
      <c r="AA104" s="1178"/>
      <c r="AB104" s="1243" t="s">
        <v>1051</v>
      </c>
      <c r="AC104" s="1182"/>
      <c r="AD104" s="1182"/>
      <c r="AE104" s="1184"/>
      <c r="AF104" s="2614"/>
      <c r="AG104" s="2615"/>
      <c r="AH104" s="2615"/>
      <c r="AI104" s="2614"/>
      <c r="AJ104" s="2615"/>
      <c r="AK104" s="2615"/>
      <c r="AL104" s="1987"/>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7" customFormat="1" customHeight="1" ht="11.25">
      <c r="A105" s="1168"/>
      <c r="B105" s="1168"/>
      <c r="C105" s="1168"/>
      <c r="D105" s="1162"/>
      <c r="E105" s="1172"/>
      <c r="F105" s="1830"/>
      <c r="G105" s="1831"/>
      <c r="H105" s="2549"/>
      <c r="I105" s="2613"/>
      <c r="J105" s="2518"/>
      <c r="K105" s="2611"/>
      <c r="L105" s="2150"/>
      <c r="M105" s="2151"/>
      <c r="N105" s="1177"/>
      <c r="O105" s="1178"/>
      <c r="P105" s="1170" t="s">
        <v>1052</v>
      </c>
      <c r="Q105" s="1178"/>
      <c r="R105" s="1178"/>
      <c r="S105" s="1178"/>
      <c r="T105" s="1178"/>
      <c r="U105" s="1178"/>
      <c r="V105" s="1178"/>
      <c r="W105" s="1178"/>
      <c r="X105" s="1178"/>
      <c r="Y105" s="1178"/>
      <c r="Z105" s="1178"/>
      <c r="AA105" s="1178"/>
      <c r="AB105" s="1178"/>
      <c r="AC105" s="1178"/>
      <c r="AD105" s="1178"/>
      <c r="AE105" s="1185"/>
      <c r="AF105" s="2614"/>
      <c r="AG105" s="2615"/>
      <c r="AH105" s="2615"/>
      <c r="AI105" s="2614"/>
      <c r="AJ105" s="2615"/>
      <c r="AK105" s="2615"/>
      <c r="AL105" s="1987"/>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1981</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4"/>
      <c r="F110" s="1210">
        <v>1</v>
      </c>
      <c r="G110" s="1211"/>
      <c r="H110" s="1212"/>
      <c r="I110" s="1981"/>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1" t="s">
        <v>1165</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6" customFormat="1" customHeight="1" ht="11.25">
      <c r="A113" s="1816" t="s">
        <v>1982</v>
      </c>
    </row>
    <row r="115" s="1849" customFormat="1" customHeight="1" ht="15">
      <c r="A115" s="625"/>
      <c r="B115" s="626"/>
      <c r="C115" s="626"/>
      <c r="D115" s="2554" t="s">
        <v>106</v>
      </c>
      <c r="E115" s="2407" t="s">
        <v>102</v>
      </c>
      <c r="F115" s="2408"/>
      <c r="G115" s="2409"/>
      <c r="H115" s="2402" t="str">
        <f>IF(A115="","",INDEX(DIFFERENTIATION_UNMERGE_VD,MATCH(A115,DIFFERENTIATION_ID_DIFF,0)))</f>
        <v/>
      </c>
      <c r="I115" s="2402"/>
      <c r="J115" s="2402"/>
      <c r="K115" s="2402"/>
      <c r="L115" s="2402"/>
      <c r="M115" s="2402"/>
      <c r="N115" s="2402"/>
      <c r="O115" s="2402"/>
      <c r="P115" s="2402"/>
      <c r="Q115" s="2402"/>
      <c r="R115" s="2402"/>
      <c r="S115" s="721"/>
      <c r="T115" s="718"/>
      <c r="U115" s="627"/>
      <c r="V115" s="627"/>
      <c r="W115" s="628"/>
      <c r="X115" s="628"/>
      <c r="Y115" s="628"/>
      <c r="Z115" s="628"/>
      <c r="AA115" s="629"/>
      <c r="AB115" s="630"/>
      <c r="AC115" s="2406"/>
      <c r="AD115" s="631"/>
      <c r="AE115" s="632" t="s">
        <v>22</v>
      </c>
      <c r="AF115" s="632"/>
      <c r="AG115" s="633" t="s">
        <v>602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49" customFormat="1" customHeight="1" ht="15">
      <c r="A116" s="625"/>
      <c r="B116" s="626"/>
      <c r="C116" s="626"/>
      <c r="D116" s="2555"/>
      <c r="E116" s="2407" t="s">
        <v>557</v>
      </c>
      <c r="F116" s="2408"/>
      <c r="G116" s="2409"/>
      <c r="H116" s="2402" t="str">
        <f>IF(A115="","",INDEX(DIFFERENTIATION_UNMERGE_AREA,MATCH(A115,DIFFERENTIATION_ID_DIFF,0)))</f>
        <v/>
      </c>
      <c r="I116" s="2402"/>
      <c r="J116" s="2402"/>
      <c r="K116" s="2402"/>
      <c r="L116" s="2402"/>
      <c r="M116" s="2402"/>
      <c r="N116" s="2402"/>
      <c r="O116" s="2402"/>
      <c r="P116" s="2402"/>
      <c r="Q116" s="2402"/>
      <c r="R116" s="2402"/>
      <c r="S116" s="721"/>
      <c r="T116" s="718"/>
      <c r="U116" s="627"/>
      <c r="V116" s="627"/>
      <c r="W116" s="628"/>
      <c r="X116" s="628"/>
      <c r="Y116" s="628"/>
      <c r="Z116" s="628"/>
      <c r="AA116" s="629"/>
      <c r="AB116" s="630"/>
      <c r="AC116" s="2406"/>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49" customFormat="1" customHeight="1" ht="15">
      <c r="A117" s="625"/>
      <c r="B117" s="626"/>
      <c r="C117" s="626"/>
      <c r="D117" s="2555"/>
      <c r="E117" s="2407" t="s">
        <v>558</v>
      </c>
      <c r="F117" s="2408"/>
      <c r="G117" s="2409"/>
      <c r="H117" s="2402" t="str">
        <f>IF(A115="","",INDEX(DIFFERENTIATION_UNMERGE_SYSTEM,MATCH(A115,DIFFERENTIATION_ID_DIFF,0)))</f>
        <v/>
      </c>
      <c r="I117" s="2402"/>
      <c r="J117" s="2402"/>
      <c r="K117" s="2402"/>
      <c r="L117" s="2402"/>
      <c r="M117" s="2402"/>
      <c r="N117" s="2402"/>
      <c r="O117" s="2402"/>
      <c r="P117" s="2402"/>
      <c r="Q117" s="2402"/>
      <c r="R117" s="2402"/>
      <c r="S117" s="721"/>
      <c r="T117" s="718"/>
      <c r="U117" s="627"/>
      <c r="V117" s="627"/>
      <c r="W117" s="628"/>
      <c r="X117" s="628"/>
      <c r="Y117" s="628"/>
      <c r="Z117" s="628"/>
      <c r="AA117" s="629"/>
      <c r="AB117" s="630"/>
      <c r="AC117" s="2406"/>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49" customFormat="1" customHeight="1" ht="24.75">
      <c r="A118" s="1807"/>
      <c r="B118" s="1162"/>
      <c r="C118" s="414"/>
      <c r="D118" s="2555"/>
      <c r="E118" s="2404" t="s">
        <v>603</v>
      </c>
      <c r="F118" s="2404"/>
      <c r="G118" s="2404"/>
      <c r="H118" s="2404"/>
      <c r="I118" s="2404"/>
      <c r="J118" s="2404"/>
      <c r="K118" s="2404"/>
      <c r="L118" s="2404"/>
      <c r="M118" s="2404"/>
      <c r="N118" s="2404"/>
      <c r="O118" s="2404"/>
      <c r="P118" s="2404"/>
      <c r="Q118" s="560">
        <f>SUMIF(T119:T120,"i",Q119:Q120)</f>
        <v>0</v>
      </c>
      <c r="R118" s="1019"/>
      <c r="S118" s="1799" t="s">
        <v>604</v>
      </c>
      <c r="T118" s="719" t="s">
        <v>605</v>
      </c>
      <c r="U118" s="2405">
        <v>1</v>
      </c>
      <c r="V118" s="2405">
        <f>INDEX(B_FHD_FLAG_INDEX_1,1,MATCH(A115,B_FHD_FLAG_DIFFERENTIATION,0))</f>
      </c>
      <c r="W118" s="1162"/>
      <c r="X118" s="1162"/>
      <c r="Y118" s="1162"/>
      <c r="Z118" s="1162"/>
      <c r="AA118" s="1638"/>
      <c r="AB118" s="1162"/>
      <c r="AC118" s="2406"/>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49" customFormat="1" customHeight="1" ht="11.25" hidden="1">
      <c r="A119" s="1794"/>
      <c r="B119" s="1638"/>
      <c r="C119" s="1638"/>
      <c r="D119" s="2555"/>
      <c r="E119" s="637"/>
      <c r="F119" s="637">
        <v>0</v>
      </c>
      <c r="G119" s="637"/>
      <c r="H119" s="637"/>
      <c r="I119" s="637"/>
      <c r="J119" s="637"/>
      <c r="K119" s="637"/>
      <c r="L119" s="637"/>
      <c r="M119" s="637"/>
      <c r="N119" s="637"/>
      <c r="O119" s="637"/>
      <c r="P119" s="637"/>
      <c r="Q119" s="637"/>
      <c r="R119" s="637"/>
      <c r="S119" s="638"/>
      <c r="T119" s="720"/>
      <c r="U119" s="2405"/>
      <c r="V119" s="2405"/>
      <c r="W119" s="1638"/>
      <c r="X119" s="1638"/>
      <c r="Y119" s="1638"/>
      <c r="Z119" s="1638"/>
      <c r="AA119" s="1638"/>
      <c r="AB119" s="1162"/>
      <c r="AC119" s="2406"/>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49" customFormat="1" customHeight="1" ht="11.25">
      <c r="A120" s="1807"/>
      <c r="B120" s="1162"/>
      <c r="C120" s="414"/>
      <c r="D120" s="2555"/>
      <c r="E120" s="651" t="s">
        <v>22</v>
      </c>
      <c r="F120" s="1170" t="s">
        <v>22</v>
      </c>
      <c r="G120" s="1170" t="s">
        <v>1983</v>
      </c>
      <c r="H120" s="653" t="s">
        <v>22</v>
      </c>
      <c r="I120" s="653"/>
      <c r="J120" s="653"/>
      <c r="K120" s="653"/>
      <c r="L120" s="653"/>
      <c r="M120" s="653"/>
      <c r="N120" s="653"/>
      <c r="O120" s="653"/>
      <c r="P120" s="653"/>
      <c r="Q120" s="653"/>
      <c r="R120" s="654"/>
      <c r="S120" s="655"/>
      <c r="T120" s="720"/>
      <c r="U120" s="2405"/>
      <c r="V120" s="2405"/>
      <c r="W120" s="1162"/>
      <c r="X120" s="1162"/>
      <c r="Y120" s="1162"/>
      <c r="Z120" s="1162"/>
      <c r="AA120" s="1638"/>
      <c r="AB120" s="1162"/>
      <c r="AC120" s="2406"/>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49" customFormat="1" customHeight="1" ht="24.75">
      <c r="A121" s="1807"/>
      <c r="B121" s="1162"/>
      <c r="C121" s="414"/>
      <c r="D121" s="2555"/>
      <c r="E121" s="2404" t="s">
        <v>606</v>
      </c>
      <c r="F121" s="2404"/>
      <c r="G121" s="2404"/>
      <c r="H121" s="2404"/>
      <c r="I121" s="2404"/>
      <c r="J121" s="2404"/>
      <c r="K121" s="2404"/>
      <c r="L121" s="2404"/>
      <c r="M121" s="2404"/>
      <c r="N121" s="2404"/>
      <c r="O121" s="2404"/>
      <c r="P121" s="2404"/>
      <c r="Q121" s="560">
        <f>SUMIF(T122:T123,"i",Q122:Q123)</f>
        <v>0</v>
      </c>
      <c r="R121" s="1019"/>
      <c r="S121" s="1799" t="s">
        <v>607</v>
      </c>
      <c r="T121" s="719" t="s">
        <v>605</v>
      </c>
      <c r="U121" s="2405">
        <v>1</v>
      </c>
      <c r="V121" s="2405">
        <f>INDEX(B_FHD_FLAG_INDEX_2,1,MATCH(A115,B_FHD_FLAG_DIFFERENTIATION,0))</f>
      </c>
      <c r="W121" s="1162"/>
      <c r="X121" s="1162"/>
      <c r="Y121" s="1162"/>
      <c r="Z121" s="1162"/>
      <c r="AA121" s="1638"/>
      <c r="AB121" s="1162"/>
      <c r="AC121" s="1797"/>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49" customFormat="1" customHeight="1" ht="11.25" hidden="1">
      <c r="A122" s="1794"/>
      <c r="B122" s="1638"/>
      <c r="C122" s="1638"/>
      <c r="D122" s="2555"/>
      <c r="E122" s="637"/>
      <c r="F122" s="637">
        <v>0</v>
      </c>
      <c r="G122" s="637"/>
      <c r="H122" s="637"/>
      <c r="I122" s="637"/>
      <c r="J122" s="637"/>
      <c r="K122" s="637"/>
      <c r="L122" s="637"/>
      <c r="M122" s="637"/>
      <c r="N122" s="637"/>
      <c r="O122" s="637"/>
      <c r="P122" s="637"/>
      <c r="Q122" s="637"/>
      <c r="R122" s="637"/>
      <c r="S122" s="638"/>
      <c r="T122" s="720"/>
      <c r="U122" s="2405"/>
      <c r="V122" s="2405"/>
      <c r="W122" s="1638"/>
      <c r="X122" s="1638"/>
      <c r="Y122" s="1638"/>
      <c r="Z122" s="1638"/>
      <c r="AA122" s="1638"/>
      <c r="AB122" s="1162"/>
      <c r="AC122" s="1797"/>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49" customFormat="1" customHeight="1" ht="11.25">
      <c r="A123" s="1807"/>
      <c r="B123" s="1162"/>
      <c r="C123" s="414"/>
      <c r="D123" s="2556"/>
      <c r="E123" s="651" t="s">
        <v>22</v>
      </c>
      <c r="F123" s="1170" t="s">
        <v>22</v>
      </c>
      <c r="G123" s="1170" t="s">
        <v>1983</v>
      </c>
      <c r="H123" s="653" t="s">
        <v>22</v>
      </c>
      <c r="I123" s="653"/>
      <c r="J123" s="653"/>
      <c r="K123" s="653"/>
      <c r="L123" s="653"/>
      <c r="M123" s="653"/>
      <c r="N123" s="653"/>
      <c r="O123" s="653"/>
      <c r="P123" s="653"/>
      <c r="Q123" s="653"/>
      <c r="R123" s="654"/>
      <c r="S123" s="655"/>
      <c r="T123" s="720"/>
      <c r="U123" s="2405"/>
      <c r="V123" s="2405"/>
      <c r="W123" s="1162"/>
      <c r="X123" s="1162"/>
      <c r="Y123" s="1162"/>
      <c r="Z123" s="1162"/>
      <c r="AA123" s="1638"/>
      <c r="AB123" s="1162"/>
      <c r="AC123" s="1797"/>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6" customFormat="1" customHeight="1" ht="11.25">
      <c r="A125" s="1816" t="s">
        <v>1984</v>
      </c>
    </row>
    <row r="127" s="1849" customFormat="1" customHeight="1" ht="15">
      <c r="A127" s="625"/>
      <c r="B127" s="626"/>
      <c r="C127" s="626"/>
      <c r="D127" s="2554" t="s">
        <v>106</v>
      </c>
      <c r="E127" s="2407" t="s">
        <v>102</v>
      </c>
      <c r="F127" s="2408"/>
      <c r="G127" s="2409"/>
      <c r="H127" s="2402" t="str">
        <f>IF(A127="","",INDEX(DIFFERENTIATION_UNMERGE_VD,MATCH(A127,DIFFERENTIATION_ID_DIFF,0)))</f>
        <v/>
      </c>
      <c r="I127" s="2402"/>
      <c r="J127" s="2402"/>
      <c r="K127" s="2402"/>
      <c r="L127" s="2402"/>
      <c r="M127" s="2402"/>
      <c r="N127" s="2402"/>
      <c r="O127" s="2402"/>
      <c r="P127" s="2402"/>
      <c r="Q127" s="2402"/>
      <c r="R127" s="2402"/>
      <c r="S127" s="721"/>
      <c r="T127" s="718"/>
      <c r="U127" s="627"/>
      <c r="V127" s="627"/>
      <c r="W127" s="628"/>
      <c r="X127" s="628"/>
      <c r="Y127" s="628"/>
      <c r="Z127" s="628"/>
      <c r="AA127" s="629"/>
      <c r="AB127" s="630"/>
      <c r="AC127" s="2406"/>
      <c r="AD127" s="631"/>
      <c r="AE127" s="632" t="s">
        <v>22</v>
      </c>
      <c r="AF127" s="632"/>
      <c r="AG127" s="633" t="s">
        <v>602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49" customFormat="1" customHeight="1" ht="15">
      <c r="A128" s="625"/>
      <c r="B128" s="626"/>
      <c r="C128" s="626"/>
      <c r="D128" s="2555"/>
      <c r="E128" s="2407" t="s">
        <v>557</v>
      </c>
      <c r="F128" s="2408"/>
      <c r="G128" s="2409"/>
      <c r="H128" s="2402" t="str">
        <f>IF(A127="","",INDEX(DIFFERENTIATION_UNMERGE_AREA,MATCH(A127,DIFFERENTIATION_ID_DIFF,0)))</f>
        <v/>
      </c>
      <c r="I128" s="2402"/>
      <c r="J128" s="2402"/>
      <c r="K128" s="2402"/>
      <c r="L128" s="2402"/>
      <c r="M128" s="2402"/>
      <c r="N128" s="2402"/>
      <c r="O128" s="2402"/>
      <c r="P128" s="2402"/>
      <c r="Q128" s="2402"/>
      <c r="R128" s="2402"/>
      <c r="S128" s="721"/>
      <c r="T128" s="718"/>
      <c r="U128" s="627"/>
      <c r="V128" s="627"/>
      <c r="W128" s="628"/>
      <c r="X128" s="628"/>
      <c r="Y128" s="628"/>
      <c r="Z128" s="628"/>
      <c r="AA128" s="629"/>
      <c r="AB128" s="630"/>
      <c r="AC128" s="2406"/>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49" customFormat="1" customHeight="1" ht="15">
      <c r="A129" s="625"/>
      <c r="B129" s="626"/>
      <c r="C129" s="626"/>
      <c r="D129" s="2555"/>
      <c r="E129" s="2407" t="s">
        <v>558</v>
      </c>
      <c r="F129" s="2408"/>
      <c r="G129" s="2409"/>
      <c r="H129" s="2402" t="str">
        <f>IF(A127="","",INDEX(DIFFERENTIATION_UNMERGE_SYSTEM,MATCH(A127,DIFFERENTIATION_ID_DIFF,0)))</f>
        <v/>
      </c>
      <c r="I129" s="2402"/>
      <c r="J129" s="2402"/>
      <c r="K129" s="2402"/>
      <c r="L129" s="2402"/>
      <c r="M129" s="2402"/>
      <c r="N129" s="2402"/>
      <c r="O129" s="2402"/>
      <c r="P129" s="2402"/>
      <c r="Q129" s="2402"/>
      <c r="R129" s="2402"/>
      <c r="S129" s="721"/>
      <c r="T129" s="718"/>
      <c r="U129" s="627"/>
      <c r="V129" s="627"/>
      <c r="W129" s="628"/>
      <c r="X129" s="628"/>
      <c r="Y129" s="628"/>
      <c r="Z129" s="628"/>
      <c r="AA129" s="629"/>
      <c r="AB129" s="630"/>
      <c r="AC129" s="2406"/>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49" customFormat="1" customHeight="1" ht="24.75">
      <c r="A130" s="1807"/>
      <c r="B130" s="1162"/>
      <c r="C130" s="414"/>
      <c r="D130" s="2555"/>
      <c r="E130" s="2404" t="s">
        <v>603</v>
      </c>
      <c r="F130" s="2404"/>
      <c r="G130" s="2404"/>
      <c r="H130" s="2404"/>
      <c r="I130" s="2404"/>
      <c r="J130" s="2404"/>
      <c r="K130" s="2404"/>
      <c r="L130" s="2404"/>
      <c r="M130" s="2404"/>
      <c r="N130" s="2404"/>
      <c r="O130" s="2404"/>
      <c r="P130" s="2404"/>
      <c r="Q130" s="560">
        <f>SUMIF(T131:T132,"i",Q131:Q132)</f>
        <v>0</v>
      </c>
      <c r="R130" s="1019"/>
      <c r="S130" s="1799" t="s">
        <v>604</v>
      </c>
      <c r="T130" s="719" t="s">
        <v>605</v>
      </c>
      <c r="U130" s="2405">
        <v>1</v>
      </c>
      <c r="V130" s="2405">
        <f>INDEX(B_FHD_FLAG_INDEX_1,1,MATCH(A127,B_FHD_FLAG_DIFFERENTIATION,0))</f>
      </c>
      <c r="W130" s="1162"/>
      <c r="X130" s="1162"/>
      <c r="Y130" s="1162"/>
      <c r="Z130" s="1162"/>
      <c r="AA130" s="1638"/>
      <c r="AB130" s="1162"/>
      <c r="AC130" s="2406"/>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49" customFormat="1" customHeight="1" ht="11.25" hidden="1">
      <c r="A131" s="1794"/>
      <c r="B131" s="1638"/>
      <c r="C131" s="1638"/>
      <c r="D131" s="2555"/>
      <c r="E131" s="637"/>
      <c r="F131" s="637">
        <v>0</v>
      </c>
      <c r="G131" s="637"/>
      <c r="H131" s="637"/>
      <c r="I131" s="637"/>
      <c r="J131" s="637"/>
      <c r="K131" s="637"/>
      <c r="L131" s="637"/>
      <c r="M131" s="637"/>
      <c r="N131" s="637"/>
      <c r="O131" s="637"/>
      <c r="P131" s="637"/>
      <c r="Q131" s="637"/>
      <c r="R131" s="637"/>
      <c r="S131" s="638"/>
      <c r="T131" s="720"/>
      <c r="U131" s="2405"/>
      <c r="V131" s="2405"/>
      <c r="W131" s="1638"/>
      <c r="X131" s="1638"/>
      <c r="Y131" s="1638"/>
      <c r="Z131" s="1638"/>
      <c r="AA131" s="1638"/>
      <c r="AB131" s="1162"/>
      <c r="AC131" s="2406"/>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49" customFormat="1" customHeight="1" ht="11.25">
      <c r="A132" s="1807"/>
      <c r="B132" s="1162"/>
      <c r="C132" s="414"/>
      <c r="D132" s="2555"/>
      <c r="E132" s="651" t="s">
        <v>22</v>
      </c>
      <c r="F132" s="1170" t="s">
        <v>22</v>
      </c>
      <c r="G132" s="1170" t="s">
        <v>1983</v>
      </c>
      <c r="H132" s="653" t="s">
        <v>22</v>
      </c>
      <c r="I132" s="653"/>
      <c r="J132" s="653"/>
      <c r="K132" s="653"/>
      <c r="L132" s="653"/>
      <c r="M132" s="653"/>
      <c r="N132" s="653"/>
      <c r="O132" s="653"/>
      <c r="P132" s="653"/>
      <c r="Q132" s="653"/>
      <c r="R132" s="654"/>
      <c r="S132" s="655"/>
      <c r="T132" s="720"/>
      <c r="U132" s="2405"/>
      <c r="V132" s="2405"/>
      <c r="W132" s="1162"/>
      <c r="X132" s="1162"/>
      <c r="Y132" s="1162"/>
      <c r="Z132" s="1162"/>
      <c r="AA132" s="1638"/>
      <c r="AB132" s="1162"/>
      <c r="AC132" s="2406"/>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4"/>
      <c r="B133" s="1638"/>
      <c r="C133" s="1638"/>
      <c r="D133" s="2555"/>
      <c r="E133" s="1041"/>
      <c r="F133" s="1041"/>
      <c r="G133" s="1041"/>
      <c r="H133" s="1041"/>
      <c r="I133" s="1041"/>
      <c r="J133" s="1041"/>
      <c r="K133" s="1041"/>
      <c r="L133" s="1041"/>
      <c r="M133" s="1041"/>
      <c r="N133" s="1041"/>
      <c r="O133" s="1041"/>
      <c r="P133" s="1041"/>
      <c r="Q133" s="1042"/>
      <c r="R133" s="1043"/>
      <c r="S133" s="1044"/>
      <c r="T133" s="719" t="s">
        <v>605</v>
      </c>
      <c r="U133" s="2405">
        <v>1</v>
      </c>
      <c r="V133" s="2405" t="s">
        <v>568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4"/>
      <c r="B134" s="1638"/>
      <c r="C134" s="1638"/>
      <c r="D134" s="2555"/>
      <c r="E134" s="637"/>
      <c r="F134" s="637"/>
      <c r="G134" s="637"/>
      <c r="H134" s="637"/>
      <c r="I134" s="637"/>
      <c r="J134" s="637"/>
      <c r="K134" s="637"/>
      <c r="L134" s="637"/>
      <c r="M134" s="637"/>
      <c r="N134" s="637"/>
      <c r="O134" s="637"/>
      <c r="P134" s="637"/>
      <c r="Q134" s="637"/>
      <c r="R134" s="637"/>
      <c r="S134" s="638"/>
      <c r="T134" s="720"/>
      <c r="U134" s="2405"/>
      <c r="V134" s="2405"/>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4"/>
      <c r="B135" s="1638"/>
      <c r="C135" s="1638"/>
      <c r="D135" s="2556"/>
      <c r="E135" s="1045"/>
      <c r="F135" s="1046"/>
      <c r="G135" s="1046"/>
      <c r="H135" s="1047"/>
      <c r="I135" s="1047"/>
      <c r="J135" s="1047"/>
      <c r="K135" s="1047"/>
      <c r="L135" s="1047"/>
      <c r="M135" s="1047"/>
      <c r="N135" s="1047"/>
      <c r="O135" s="1047"/>
      <c r="P135" s="1047"/>
      <c r="Q135" s="1047"/>
      <c r="R135" s="948"/>
      <c r="S135" s="1048"/>
      <c r="T135" s="720"/>
      <c r="U135" s="2405"/>
      <c r="V135" s="2405"/>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5"/>
    </row>
    <row s="1816" customFormat="1" customHeight="1" ht="11.25">
      <c r="A137" s="1816" t="s">
        <v>1985</v>
      </c>
    </row>
    <row r="139" s="1849" customFormat="1" customHeight="1" ht="45">
      <c r="A139" s="1807"/>
      <c r="B139" s="1162"/>
      <c r="C139" s="414"/>
      <c r="D139" s="91"/>
      <c r="E139" s="2560"/>
      <c r="F139" s="2151" t="s">
        <v>106</v>
      </c>
      <c r="G139" s="2563" t="s">
        <v>22</v>
      </c>
      <c r="H139" s="291"/>
      <c r="I139" s="639" t="s">
        <v>106</v>
      </c>
      <c r="J139" s="1808" t="s">
        <v>1986</v>
      </c>
      <c r="K139" s="640" t="s">
        <v>539</v>
      </c>
      <c r="L139" s="2243" t="s">
        <v>539</v>
      </c>
      <c r="M139" s="2565"/>
      <c r="N139" s="640" t="s">
        <v>539</v>
      </c>
      <c r="O139" s="640" t="s">
        <v>539</v>
      </c>
      <c r="P139" s="640" t="s">
        <v>539</v>
      </c>
      <c r="Q139" s="641">
        <f>SUM(Q140:Q142)</f>
        <v>0</v>
      </c>
      <c r="R139" s="641">
        <f>IF(R136=0,0,(Q136/R136)*100)</f>
        <v>0</v>
      </c>
      <c r="S139" s="2212"/>
      <c r="T139" s="719" t="s">
        <v>605</v>
      </c>
      <c r="U139" s="91"/>
      <c r="V139" s="91"/>
      <c r="AC139" s="91"/>
    </row>
    <row s="1849" customFormat="1" customHeight="1" ht="11.25">
      <c r="A140" s="1807"/>
      <c r="B140" s="1162"/>
      <c r="C140" s="414"/>
      <c r="D140" s="91"/>
      <c r="E140" s="2561"/>
      <c r="F140" s="2151"/>
      <c r="G140" s="2563"/>
      <c r="H140" s="2140"/>
      <c r="I140" s="2549" t="s">
        <v>1070</v>
      </c>
      <c r="J140" s="2557"/>
      <c r="K140" s="2558"/>
      <c r="L140" s="642"/>
      <c r="M140" s="643" t="s">
        <v>106</v>
      </c>
      <c r="N140" s="1796"/>
      <c r="O140" s="644"/>
      <c r="P140" s="645"/>
      <c r="Q140" s="644"/>
      <c r="R140" s="646">
        <v>0</v>
      </c>
      <c r="S140" s="2212"/>
      <c r="T140" s="719"/>
      <c r="U140" s="91"/>
      <c r="V140" s="91"/>
      <c r="AC140" s="91"/>
    </row>
    <row s="1849" customFormat="1" customHeight="1" ht="11.25">
      <c r="A141" s="1807"/>
      <c r="B141" s="1162"/>
      <c r="C141" s="414"/>
      <c r="D141" s="91"/>
      <c r="E141" s="2561"/>
      <c r="F141" s="2151"/>
      <c r="G141" s="2563"/>
      <c r="H141" s="2140"/>
      <c r="I141" s="2549"/>
      <c r="J141" s="2557"/>
      <c r="K141" s="2559"/>
      <c r="L141" s="647"/>
      <c r="M141" s="648"/>
      <c r="N141" s="649" t="s">
        <v>1987</v>
      </c>
      <c r="O141" s="649"/>
      <c r="P141" s="649"/>
      <c r="Q141" s="649"/>
      <c r="R141" s="650"/>
      <c r="S141" s="2212"/>
      <c r="T141" s="719"/>
      <c r="U141" s="91"/>
      <c r="V141" s="91"/>
      <c r="AC141" s="91"/>
    </row>
    <row s="1849" customFormat="1" customHeight="1" ht="11.25">
      <c r="A142" s="1807"/>
      <c r="B142" s="1162"/>
      <c r="C142" s="414"/>
      <c r="D142" s="91"/>
      <c r="E142" s="2562"/>
      <c r="F142" s="2151"/>
      <c r="G142" s="2564"/>
      <c r="H142" s="647" t="s">
        <v>22</v>
      </c>
      <c r="I142" s="648"/>
      <c r="J142" s="649" t="s">
        <v>1988</v>
      </c>
      <c r="K142" s="649"/>
      <c r="L142" s="649"/>
      <c r="M142" s="649"/>
      <c r="N142" s="649"/>
      <c r="O142" s="649"/>
      <c r="P142" s="649"/>
      <c r="Q142" s="649"/>
      <c r="R142" s="650"/>
      <c r="S142" s="2212"/>
      <c r="T142" s="719"/>
      <c r="U142" s="91"/>
      <c r="V142" s="91"/>
      <c r="AC142" s="91"/>
    </row>
    <row r="147" s="1849" customFormat="1" customHeight="1" ht="11.25">
      <c r="A147" s="1807"/>
      <c r="B147" s="1162"/>
      <c r="C147" s="414"/>
      <c r="D147" s="91"/>
      <c r="E147" s="1831"/>
      <c r="F147" s="1831"/>
      <c r="G147" s="1831"/>
      <c r="H147" s="2140"/>
      <c r="I147" s="2549" t="s">
        <v>1070</v>
      </c>
      <c r="J147" s="2557"/>
      <c r="K147" s="2558"/>
      <c r="L147" s="642"/>
      <c r="M147" s="643" t="s">
        <v>106</v>
      </c>
      <c r="N147" s="1796"/>
      <c r="O147" s="644"/>
      <c r="P147" s="645"/>
      <c r="Q147" s="644"/>
      <c r="R147" s="646">
        <v>0</v>
      </c>
      <c r="S147" s="91"/>
      <c r="T147" s="719"/>
      <c r="U147" s="91"/>
      <c r="V147" s="91"/>
      <c r="AC147" s="91"/>
    </row>
    <row s="1849" customFormat="1" customHeight="1" ht="11.25">
      <c r="A148" s="1807"/>
      <c r="B148" s="1162"/>
      <c r="C148" s="414"/>
      <c r="D148" s="91"/>
      <c r="E148" s="1831"/>
      <c r="F148" s="1831"/>
      <c r="G148" s="1831"/>
      <c r="H148" s="2140"/>
      <c r="I148" s="2549"/>
      <c r="J148" s="2557"/>
      <c r="K148" s="2559"/>
      <c r="L148" s="647"/>
      <c r="M148" s="648"/>
      <c r="N148" s="649" t="s">
        <v>1987</v>
      </c>
      <c r="O148" s="649"/>
      <c r="P148" s="649"/>
      <c r="Q148" s="649"/>
      <c r="R148" s="650"/>
      <c r="S148" s="91"/>
      <c r="T148" s="719"/>
      <c r="U148" s="91"/>
      <c r="V148" s="91"/>
      <c r="AC148" s="91"/>
    </row>
    <row r="150" s="1849" customFormat="1" customHeight="1" ht="11.25">
      <c r="A150" s="1807"/>
      <c r="B150" s="1162"/>
      <c r="C150" s="414"/>
      <c r="D150" s="91"/>
      <c r="E150" s="1836"/>
      <c r="F150" s="1834"/>
      <c r="G150" s="1834"/>
      <c r="H150" s="1837"/>
      <c r="I150" s="1831"/>
      <c r="J150" s="1832"/>
      <c r="K150" s="1832"/>
      <c r="L150" s="642"/>
      <c r="M150" s="643" t="s">
        <v>106</v>
      </c>
      <c r="N150" s="1796"/>
      <c r="O150" s="644"/>
      <c r="P150" s="645"/>
      <c r="Q150" s="644"/>
      <c r="R150" s="646">
        <v>0</v>
      </c>
      <c r="S150" s="91"/>
      <c r="T150" s="719"/>
      <c r="U150" s="91"/>
      <c r="V150" s="91"/>
      <c r="AC150" s="91"/>
    </row>
    <row r="152" s="1816" customFormat="1" customHeight="1" ht="17.25">
      <c r="A152" s="1816" t="s">
        <v>1989</v>
      </c>
    </row>
    <row customHeight="1" ht="17.25">
      <c r="G153" s="1838"/>
      <c r="H153" s="1838"/>
      <c r="I153" s="1838"/>
      <c r="M153" s="1834"/>
    </row>
    <row s="1852" customFormat="1" customHeight="1" ht="17.25">
      <c r="A154" s="1839"/>
      <c r="C154" s="1841"/>
      <c r="D154" s="2546"/>
      <c r="E154" s="2162"/>
      <c r="F154" s="2175"/>
      <c r="G154" s="2552"/>
      <c r="H154" s="2546"/>
      <c r="I154" s="2546">
        <v>1</v>
      </c>
      <c r="J154" s="2572"/>
      <c r="K154" s="2215" t="s">
        <v>65</v>
      </c>
      <c r="L154" s="2151"/>
      <c r="M154" s="2151" t="s">
        <v>106</v>
      </c>
      <c r="N154" s="2570" t="str">
        <f>IF(Z154="","",INDEX(TERRITORY_MR_LIST,MATCH(Z154,TERRITORY_LIST_ID,0)))</f>
        <v/>
      </c>
      <c r="O154" s="2215" t="s">
        <v>65</v>
      </c>
      <c r="P154" s="2151"/>
      <c r="Q154" s="2151" t="s">
        <v>106</v>
      </c>
      <c r="R154" s="2551" t="s">
        <v>22</v>
      </c>
      <c r="S154" s="2150" t="s">
        <v>65</v>
      </c>
      <c r="T154" s="1812"/>
      <c r="U154" s="1812" t="s">
        <v>106</v>
      </c>
      <c r="V154" s="1842" t="s">
        <v>22</v>
      </c>
      <c r="W154" s="1802"/>
      <c r="Y154" s="1269"/>
      <c r="Z154" s="1269"/>
      <c r="AA154" s="1269"/>
      <c r="AB154" s="1269"/>
      <c r="AC154" s="1269"/>
      <c r="AD154" s="1269"/>
      <c r="AE154" s="1269"/>
      <c r="AF154" s="1269"/>
      <c r="AG154" s="1269"/>
      <c r="AH154" s="1269"/>
      <c r="AI154" s="1269"/>
      <c r="AJ154" s="1269"/>
      <c r="AK154" s="1269"/>
      <c r="AL154" s="1843"/>
      <c r="AM154" s="1843"/>
      <c r="AN154" s="1269"/>
      <c r="AO154" s="1269"/>
      <c r="AP154" s="1269"/>
      <c r="AQ154" s="1269"/>
    </row>
    <row s="1852" customFormat="1" customHeight="1" ht="17.25">
      <c r="A155" s="1839"/>
      <c r="C155" s="1844"/>
      <c r="D155" s="2546"/>
      <c r="E155" s="2162"/>
      <c r="F155" s="2176"/>
      <c r="G155" s="2552"/>
      <c r="H155" s="2546"/>
      <c r="I155" s="2546"/>
      <c r="J155" s="2572"/>
      <c r="K155" s="2216"/>
      <c r="L155" s="2151"/>
      <c r="M155" s="2151"/>
      <c r="N155" s="2570"/>
      <c r="O155" s="2216"/>
      <c r="P155" s="2151"/>
      <c r="Q155" s="2151"/>
      <c r="R155" s="2551"/>
      <c r="S155" s="2150"/>
      <c r="T155" s="319"/>
      <c r="U155" s="320"/>
      <c r="V155" s="320" t="s">
        <v>409</v>
      </c>
      <c r="W155" s="321"/>
      <c r="Y155" s="1261"/>
      <c r="Z155" s="1261"/>
      <c r="AA155" s="1261"/>
      <c r="AB155" s="1261"/>
      <c r="AC155" s="1261"/>
      <c r="AD155" s="1261"/>
      <c r="AE155" s="1261"/>
      <c r="AF155" s="1261"/>
      <c r="AG155" s="1261"/>
      <c r="AH155" s="1261"/>
      <c r="AI155" s="1261"/>
      <c r="AJ155" s="1261"/>
      <c r="AK155" s="1261"/>
    </row>
    <row s="1852" customFormat="1" customHeight="1" ht="17.25">
      <c r="A156" s="1839"/>
      <c r="C156" s="1844"/>
      <c r="D156" s="2547"/>
      <c r="E156" s="2569"/>
      <c r="F156" s="2176"/>
      <c r="G156" s="2553"/>
      <c r="H156" s="2547"/>
      <c r="I156" s="2547"/>
      <c r="J156" s="2573"/>
      <c r="K156" s="2216"/>
      <c r="L156" s="2547"/>
      <c r="M156" s="2547"/>
      <c r="N156" s="2571"/>
      <c r="O156" s="2155"/>
      <c r="P156" s="319"/>
      <c r="Q156" s="320"/>
      <c r="R156" s="320" t="s">
        <v>410</v>
      </c>
      <c r="S156" s="1845"/>
      <c r="T156" s="1845"/>
      <c r="U156" s="1845"/>
      <c r="V156" s="1845"/>
      <c r="W156" s="321"/>
      <c r="Y156" s="1261"/>
      <c r="Z156" s="1261"/>
      <c r="AA156" s="1261"/>
      <c r="AB156" s="1261"/>
      <c r="AC156" s="1261"/>
      <c r="AD156" s="1261"/>
      <c r="AE156" s="1261"/>
      <c r="AF156" s="1261"/>
      <c r="AG156" s="1261"/>
      <c r="AH156" s="1261"/>
      <c r="AI156" s="1261"/>
      <c r="AJ156" s="1261"/>
      <c r="AK156" s="1261"/>
    </row>
    <row s="1852" customFormat="1" customHeight="1" ht="17.25">
      <c r="A157" s="1839"/>
      <c r="C157" s="1844"/>
      <c r="D157" s="2547"/>
      <c r="E157" s="2569"/>
      <c r="F157" s="2176"/>
      <c r="G157" s="2553"/>
      <c r="H157" s="2547"/>
      <c r="I157" s="2547"/>
      <c r="J157" s="2573"/>
      <c r="K157" s="2155"/>
      <c r="L157" s="319"/>
      <c r="M157" s="320"/>
      <c r="N157" s="320" t="s">
        <v>411</v>
      </c>
      <c r="O157" s="320"/>
      <c r="P157" s="320"/>
      <c r="Q157" s="320"/>
      <c r="R157" s="320"/>
      <c r="S157" s="1845"/>
      <c r="T157" s="1845"/>
      <c r="U157" s="1845"/>
      <c r="V157" s="1845"/>
      <c r="W157" s="321"/>
      <c r="Y157" s="1261"/>
      <c r="Z157" s="1261"/>
      <c r="AA157" s="1261"/>
      <c r="AB157" s="1261"/>
      <c r="AC157" s="1261"/>
      <c r="AD157" s="1261"/>
      <c r="AE157" s="1261"/>
      <c r="AF157" s="1261"/>
      <c r="AG157" s="1261"/>
      <c r="AH157" s="1261"/>
      <c r="AI157" s="1261"/>
      <c r="AJ157" s="1261"/>
      <c r="AK157" s="1261"/>
    </row>
    <row s="1852" customFormat="1" customHeight="1" ht="17.25">
      <c r="A158" s="1839"/>
      <c r="C158" s="1844"/>
      <c r="D158" s="2547"/>
      <c r="E158" s="2569"/>
      <c r="F158" s="2177"/>
      <c r="G158" s="2553"/>
      <c r="H158" s="319"/>
      <c r="I158" s="320"/>
      <c r="J158" s="320" t="s">
        <v>439</v>
      </c>
      <c r="K158" s="320"/>
      <c r="L158" s="320"/>
      <c r="M158" s="320"/>
      <c r="N158" s="320"/>
      <c r="O158" s="320"/>
      <c r="P158" s="320"/>
      <c r="Q158" s="320"/>
      <c r="R158" s="320"/>
      <c r="S158" s="1845"/>
      <c r="T158" s="1845"/>
      <c r="U158" s="1845"/>
      <c r="V158" s="1845"/>
      <c r="W158" s="321"/>
      <c r="Y158" s="1261"/>
      <c r="Z158" s="1261"/>
      <c r="AA158" s="1261"/>
      <c r="AB158" s="1261"/>
      <c r="AC158" s="1261"/>
      <c r="AD158" s="1261"/>
      <c r="AE158" s="1261"/>
      <c r="AF158" s="1261"/>
      <c r="AG158" s="1261"/>
      <c r="AH158" s="1261"/>
      <c r="AI158" s="1261"/>
      <c r="AJ158" s="1261"/>
      <c r="AK158" s="1261"/>
    </row>
    <row customHeight="1" ht="17.25">
      <c r="G159" s="1838"/>
      <c r="H159" s="1838"/>
      <c r="I159" s="1838"/>
      <c r="M159" s="1834"/>
    </row>
    <row s="1852" customFormat="1" customHeight="1" ht="17.25">
      <c r="A160" s="1839"/>
      <c r="C160" s="1841"/>
      <c r="D160" s="1831"/>
      <c r="E160" s="1846"/>
      <c r="F160" s="1785"/>
      <c r="G160" s="1847"/>
      <c r="H160" s="2546"/>
      <c r="I160" s="2546">
        <v>1</v>
      </c>
      <c r="J160" s="2572"/>
      <c r="K160" s="2215" t="s">
        <v>65</v>
      </c>
      <c r="L160" s="2151"/>
      <c r="M160" s="2151" t="s">
        <v>106</v>
      </c>
      <c r="N160" s="2570" t="str">
        <f>IF(Z160="","",INDEX(TERRITORY_MR_LIST,MATCH(Z160,TERRITORY_LIST_ID,0)))</f>
        <v/>
      </c>
      <c r="O160" s="2215" t="s">
        <v>65</v>
      </c>
      <c r="P160" s="2151"/>
      <c r="Q160" s="2151" t="s">
        <v>106</v>
      </c>
      <c r="R160" s="2551" t="s">
        <v>22</v>
      </c>
      <c r="S160" s="2150" t="s">
        <v>65</v>
      </c>
      <c r="T160" s="1812"/>
      <c r="U160" s="1812" t="s">
        <v>106</v>
      </c>
      <c r="V160" s="1842" t="s">
        <v>22</v>
      </c>
      <c r="W160" s="1802"/>
      <c r="Y160" s="1269"/>
      <c r="Z160" s="1269"/>
      <c r="AA160" s="1269"/>
      <c r="AB160" s="1269"/>
      <c r="AC160" s="1269"/>
      <c r="AD160" s="1269"/>
      <c r="AE160" s="1269"/>
      <c r="AF160" s="1269"/>
      <c r="AG160" s="1269"/>
      <c r="AH160" s="1269"/>
      <c r="AI160" s="1269"/>
      <c r="AJ160" s="1269"/>
      <c r="AK160" s="1269"/>
      <c r="AL160" s="1843"/>
      <c r="AM160" s="1843"/>
      <c r="AN160" s="1269"/>
      <c r="AO160" s="1269"/>
      <c r="AP160" s="1269"/>
      <c r="AQ160" s="1269"/>
    </row>
    <row s="1852" customFormat="1" customHeight="1" ht="17.25">
      <c r="A161" s="1839"/>
      <c r="C161" s="1844"/>
      <c r="D161" s="1831"/>
      <c r="E161" s="1846"/>
      <c r="F161" s="1785"/>
      <c r="G161" s="1847"/>
      <c r="H161" s="2546"/>
      <c r="I161" s="2546"/>
      <c r="J161" s="2572"/>
      <c r="K161" s="2216"/>
      <c r="L161" s="2151"/>
      <c r="M161" s="2151"/>
      <c r="N161" s="2570"/>
      <c r="O161" s="2216"/>
      <c r="P161" s="2151"/>
      <c r="Q161" s="2151"/>
      <c r="R161" s="2551"/>
      <c r="S161" s="2150"/>
      <c r="T161" s="319"/>
      <c r="U161" s="320"/>
      <c r="V161" s="320" t="s">
        <v>409</v>
      </c>
      <c r="W161" s="321"/>
      <c r="Y161" s="1261"/>
      <c r="Z161" s="1261"/>
      <c r="AA161" s="1261"/>
      <c r="AB161" s="1261"/>
      <c r="AC161" s="1261"/>
      <c r="AD161" s="1261"/>
      <c r="AE161" s="1261"/>
      <c r="AF161" s="1261"/>
      <c r="AG161" s="1261"/>
      <c r="AH161" s="1261"/>
      <c r="AI161" s="1261"/>
      <c r="AJ161" s="1261"/>
      <c r="AK161" s="1261"/>
    </row>
    <row s="1852" customFormat="1" customHeight="1" ht="17.25">
      <c r="A162" s="1839"/>
      <c r="C162" s="1844"/>
      <c r="D162" s="1831"/>
      <c r="E162" s="1846"/>
      <c r="F162" s="1785"/>
      <c r="G162" s="1847"/>
      <c r="H162" s="2547"/>
      <c r="I162" s="2547"/>
      <c r="J162" s="2573"/>
      <c r="K162" s="2216"/>
      <c r="L162" s="2547"/>
      <c r="M162" s="2547"/>
      <c r="N162" s="2571"/>
      <c r="O162" s="2155"/>
      <c r="P162" s="319"/>
      <c r="Q162" s="320"/>
      <c r="R162" s="320" t="s">
        <v>410</v>
      </c>
      <c r="S162" s="1845"/>
      <c r="T162" s="1845"/>
      <c r="U162" s="1845"/>
      <c r="V162" s="1845"/>
      <c r="W162" s="321"/>
      <c r="Y162" s="1261"/>
      <c r="Z162" s="1261"/>
      <c r="AA162" s="1261"/>
      <c r="AB162" s="1261"/>
      <c r="AC162" s="1261"/>
      <c r="AD162" s="1261"/>
      <c r="AE162" s="1261"/>
      <c r="AF162" s="1261"/>
      <c r="AG162" s="1261"/>
      <c r="AH162" s="1261"/>
      <c r="AI162" s="1261"/>
      <c r="AJ162" s="1261"/>
      <c r="AK162" s="1261"/>
    </row>
    <row s="1852" customFormat="1" customHeight="1" ht="17.25">
      <c r="A163" s="1839"/>
      <c r="C163" s="1844"/>
      <c r="D163" s="1831"/>
      <c r="E163" s="1846"/>
      <c r="F163" s="1785"/>
      <c r="G163" s="1847"/>
      <c r="H163" s="2547"/>
      <c r="I163" s="2547"/>
      <c r="J163" s="2573"/>
      <c r="K163" s="2155"/>
      <c r="L163" s="319"/>
      <c r="M163" s="320"/>
      <c r="N163" s="320" t="s">
        <v>411</v>
      </c>
      <c r="O163" s="320"/>
      <c r="P163" s="320"/>
      <c r="Q163" s="320"/>
      <c r="R163" s="320"/>
      <c r="S163" s="1845"/>
      <c r="T163" s="1845"/>
      <c r="U163" s="1845"/>
      <c r="V163" s="1845"/>
      <c r="W163" s="321"/>
      <c r="Y163" s="1261"/>
      <c r="Z163" s="1261"/>
      <c r="AA163" s="1261"/>
      <c r="AB163" s="1261"/>
      <c r="AC163" s="1261"/>
      <c r="AD163" s="1261"/>
      <c r="AE163" s="1261"/>
      <c r="AF163" s="1261"/>
      <c r="AG163" s="1261"/>
      <c r="AH163" s="1261"/>
      <c r="AI163" s="1261"/>
      <c r="AJ163" s="1261"/>
      <c r="AK163" s="1261"/>
    </row>
    <row customHeight="1" ht="17.25">
      <c r="G164" s="1838"/>
      <c r="H164" s="1838"/>
      <c r="I164" s="1838"/>
      <c r="M164" s="1834"/>
    </row>
    <row s="1852" customFormat="1" customHeight="1" ht="17.25">
      <c r="A165" s="1839"/>
      <c r="C165" s="1841"/>
      <c r="D165" s="1831"/>
      <c r="E165" s="1846"/>
      <c r="F165" s="1785"/>
      <c r="G165" s="1847"/>
      <c r="H165" s="1831"/>
      <c r="I165" s="1831"/>
      <c r="J165" s="1848"/>
      <c r="K165" s="1761"/>
      <c r="L165" s="2151"/>
      <c r="M165" s="2151" t="s">
        <v>106</v>
      </c>
      <c r="N165" s="2570" t="str">
        <f>IF(Z165="","",INDEX(TERRITORY_MR_LIST,MATCH(Z165,TERRITORY_LIST_ID,0)))</f>
        <v/>
      </c>
      <c r="O165" s="2215" t="s">
        <v>65</v>
      </c>
      <c r="P165" s="2151"/>
      <c r="Q165" s="2151" t="s">
        <v>106</v>
      </c>
      <c r="R165" s="2551" t="s">
        <v>22</v>
      </c>
      <c r="S165" s="2150" t="s">
        <v>65</v>
      </c>
      <c r="T165" s="1812"/>
      <c r="U165" s="1812" t="s">
        <v>106</v>
      </c>
      <c r="V165" s="1842" t="s">
        <v>22</v>
      </c>
      <c r="W165" s="1802"/>
      <c r="Y165" s="1269"/>
      <c r="Z165" s="1269"/>
      <c r="AA165" s="1269"/>
      <c r="AB165" s="1269"/>
      <c r="AC165" s="1269"/>
      <c r="AD165" s="1269"/>
      <c r="AE165" s="1269"/>
      <c r="AF165" s="1269"/>
      <c r="AG165" s="1269"/>
      <c r="AH165" s="1269"/>
      <c r="AI165" s="1269"/>
      <c r="AJ165" s="1269"/>
      <c r="AK165" s="1269"/>
      <c r="AL165" s="1843"/>
      <c r="AM165" s="1843"/>
      <c r="AN165" s="1269"/>
      <c r="AO165" s="1269"/>
      <c r="AP165" s="1269"/>
      <c r="AQ165" s="1269"/>
    </row>
    <row s="1852" customFormat="1" customHeight="1" ht="17.25">
      <c r="A166" s="1839"/>
      <c r="C166" s="1844"/>
      <c r="D166" s="1831"/>
      <c r="E166" s="1846"/>
      <c r="F166" s="1785"/>
      <c r="G166" s="1847"/>
      <c r="H166" s="1831"/>
      <c r="I166" s="1831"/>
      <c r="J166" s="1848"/>
      <c r="K166" s="1761"/>
      <c r="L166" s="2151"/>
      <c r="M166" s="2151"/>
      <c r="N166" s="2570"/>
      <c r="O166" s="2216"/>
      <c r="P166" s="2151"/>
      <c r="Q166" s="2151"/>
      <c r="R166" s="2551"/>
      <c r="S166" s="2150"/>
      <c r="T166" s="319"/>
      <c r="U166" s="320"/>
      <c r="V166" s="320" t="s">
        <v>409</v>
      </c>
      <c r="W166" s="321"/>
      <c r="Y166" s="1261"/>
      <c r="Z166" s="1261"/>
      <c r="AA166" s="1261"/>
      <c r="AB166" s="1261"/>
      <c r="AC166" s="1261"/>
      <c r="AD166" s="1261"/>
      <c r="AE166" s="1261"/>
      <c r="AF166" s="1261"/>
      <c r="AG166" s="1261"/>
      <c r="AH166" s="1261"/>
      <c r="AI166" s="1261"/>
      <c r="AJ166" s="1261"/>
      <c r="AK166" s="1261"/>
    </row>
    <row s="1852" customFormat="1" customHeight="1" ht="17.25">
      <c r="A167" s="1839"/>
      <c r="C167" s="1844"/>
      <c r="D167" s="1831"/>
      <c r="E167" s="1846"/>
      <c r="F167" s="1785"/>
      <c r="G167" s="1847"/>
      <c r="H167" s="1831"/>
      <c r="I167" s="1831"/>
      <c r="J167" s="1848"/>
      <c r="K167" s="1761"/>
      <c r="L167" s="2547"/>
      <c r="M167" s="2547"/>
      <c r="N167" s="2571"/>
      <c r="O167" s="2155"/>
      <c r="P167" s="319"/>
      <c r="Q167" s="320"/>
      <c r="R167" s="320" t="s">
        <v>410</v>
      </c>
      <c r="S167" s="1845"/>
      <c r="T167" s="1845"/>
      <c r="U167" s="1845"/>
      <c r="V167" s="1845"/>
      <c r="W167" s="321"/>
      <c r="Y167" s="1261"/>
      <c r="Z167" s="1261"/>
      <c r="AA167" s="1261"/>
      <c r="AB167" s="1261"/>
      <c r="AC167" s="1261"/>
      <c r="AD167" s="1261"/>
      <c r="AE167" s="1261"/>
      <c r="AF167" s="1261"/>
      <c r="AG167" s="1261"/>
      <c r="AH167" s="1261"/>
      <c r="AI167" s="1261"/>
      <c r="AJ167" s="1261"/>
      <c r="AK167" s="1261"/>
    </row>
    <row customHeight="1" ht="17.25">
      <c r="G168" s="1838"/>
      <c r="H168" s="1838"/>
      <c r="I168" s="1838"/>
      <c r="M168" s="1834"/>
    </row>
    <row s="1852" customFormat="1" customHeight="1" ht="17.25">
      <c r="A169" s="1839"/>
      <c r="C169" s="1841"/>
      <c r="D169" s="1831"/>
      <c r="E169" s="1846"/>
      <c r="F169" s="1785"/>
      <c r="G169" s="1847"/>
      <c r="H169" s="1831"/>
      <c r="I169" s="1831"/>
      <c r="J169" s="1848"/>
      <c r="K169" s="1761"/>
      <c r="L169" s="1757"/>
      <c r="M169" s="1757"/>
      <c r="N169" s="2047"/>
      <c r="O169" s="1788"/>
      <c r="P169" s="2151"/>
      <c r="Q169" s="2151" t="s">
        <v>106</v>
      </c>
      <c r="R169" s="2551" t="s">
        <v>22</v>
      </c>
      <c r="S169" s="2150" t="s">
        <v>65</v>
      </c>
      <c r="T169" s="1812"/>
      <c r="U169" s="1812" t="s">
        <v>106</v>
      </c>
      <c r="V169" s="1842" t="s">
        <v>22</v>
      </c>
      <c r="W169" s="1802"/>
      <c r="Y169" s="1269"/>
      <c r="Z169" s="1269"/>
      <c r="AA169" s="1269"/>
      <c r="AB169" s="1269"/>
      <c r="AC169" s="1269"/>
      <c r="AD169" s="1269"/>
      <c r="AE169" s="1269"/>
      <c r="AF169" s="1269"/>
      <c r="AG169" s="1269"/>
      <c r="AH169" s="1269"/>
      <c r="AI169" s="1269"/>
      <c r="AJ169" s="1269"/>
      <c r="AK169" s="1269"/>
      <c r="AL169" s="1843"/>
      <c r="AM169" s="1843"/>
      <c r="AN169" s="1269"/>
      <c r="AO169" s="1269"/>
      <c r="AP169" s="1269"/>
      <c r="AQ169" s="1269"/>
    </row>
    <row s="1852" customFormat="1" customHeight="1" ht="17.25">
      <c r="A170" s="1839"/>
      <c r="C170" s="1844"/>
      <c r="D170" s="1831"/>
      <c r="E170" s="1846"/>
      <c r="F170" s="1785"/>
      <c r="G170" s="1847"/>
      <c r="H170" s="1831"/>
      <c r="I170" s="1831"/>
      <c r="J170" s="1848"/>
      <c r="K170" s="1761"/>
      <c r="L170" s="1757"/>
      <c r="M170" s="1757"/>
      <c r="N170" s="2047"/>
      <c r="O170" s="1788"/>
      <c r="P170" s="2151"/>
      <c r="Q170" s="2151"/>
      <c r="R170" s="2551"/>
      <c r="S170" s="2150"/>
      <c r="T170" s="319"/>
      <c r="U170" s="320"/>
      <c r="V170" s="320" t="s">
        <v>409</v>
      </c>
      <c r="W170" s="321"/>
      <c r="Y170" s="1261"/>
      <c r="Z170" s="1261"/>
      <c r="AA170" s="1261"/>
      <c r="AB170" s="1261"/>
      <c r="AC170" s="1261"/>
      <c r="AD170" s="1261"/>
      <c r="AE170" s="1261"/>
      <c r="AF170" s="1261"/>
      <c r="AG170" s="1261"/>
      <c r="AH170" s="1261"/>
      <c r="AI170" s="1261"/>
      <c r="AJ170" s="1261"/>
      <c r="AK170" s="1261"/>
    </row>
    <row customHeight="1" ht="17.25">
      <c r="G171" s="1838"/>
      <c r="H171" s="1838"/>
      <c r="I171" s="1838"/>
      <c r="M171" s="1834"/>
    </row>
    <row s="1852" customFormat="1" customHeight="1" ht="17.25">
      <c r="A172" s="1839"/>
      <c r="C172" s="1841"/>
      <c r="D172" s="1831"/>
      <c r="E172" s="1846"/>
      <c r="F172" s="1785"/>
      <c r="G172" s="1847"/>
      <c r="H172" s="1757"/>
      <c r="I172" s="1757"/>
      <c r="J172" s="1758"/>
      <c r="K172" s="1847"/>
      <c r="L172" s="1757"/>
      <c r="M172" s="1757"/>
      <c r="N172" s="1847"/>
      <c r="O172" s="1847"/>
      <c r="P172" s="1757"/>
      <c r="Q172" s="1757"/>
      <c r="R172" s="1759"/>
      <c r="S172" s="1847"/>
      <c r="T172" s="1812"/>
      <c r="U172" s="1812" t="s">
        <v>106</v>
      </c>
      <c r="V172" s="1842" t="s">
        <v>22</v>
      </c>
      <c r="W172" s="1802"/>
      <c r="Y172" s="1269"/>
      <c r="Z172" s="1269"/>
      <c r="AA172" s="1269"/>
      <c r="AB172" s="1269"/>
      <c r="AC172" s="1269"/>
      <c r="AD172" s="1269"/>
      <c r="AE172" s="1269"/>
      <c r="AF172" s="1269"/>
      <c r="AG172" s="1269"/>
      <c r="AH172" s="1269"/>
      <c r="AI172" s="1269"/>
      <c r="AJ172" s="1269"/>
      <c r="AK172" s="1269"/>
      <c r="AL172" s="1843"/>
      <c r="AM172" s="1843"/>
      <c r="AN172" s="1269"/>
      <c r="AO172" s="1269"/>
      <c r="AP172" s="1269"/>
      <c r="AQ172" s="1269"/>
    </row>
    <row r="174" s="1816" customFormat="1" customHeight="1" ht="17.25">
      <c r="A174" s="1816" t="s">
        <v>1990</v>
      </c>
    </row>
    <row customHeight="1" ht="17.25">
      <c r="G175" s="1838"/>
      <c r="H175" s="1838"/>
      <c r="I175" s="1838"/>
      <c r="M175" s="1834"/>
    </row>
    <row s="1852" customFormat="1" customHeight="1" ht="17.25">
      <c r="A176" s="1839"/>
      <c r="C176" s="1841"/>
      <c r="D176" s="2546"/>
      <c r="E176" s="2162"/>
      <c r="F176" s="2175"/>
      <c r="G176" s="2552"/>
      <c r="H176" s="2546"/>
      <c r="I176" s="2546">
        <v>1</v>
      </c>
      <c r="J176" s="2572"/>
      <c r="K176" s="2215" t="s">
        <v>65</v>
      </c>
      <c r="L176" s="2151"/>
      <c r="M176" s="2151" t="s">
        <v>106</v>
      </c>
      <c r="N176" s="2570" t="str">
        <f>IF(Z176="","",INDEX(TERRITORY_MR_LIST,MATCH(Z176,TERRITORY_LIST_ID,0)))</f>
        <v/>
      </c>
      <c r="O176" s="2215" t="s">
        <v>65</v>
      </c>
      <c r="P176" s="2151"/>
      <c r="Q176" s="2151" t="s">
        <v>106</v>
      </c>
      <c r="R176" s="2551" t="s">
        <v>22</v>
      </c>
      <c r="S176" s="2426" t="s">
        <v>19</v>
      </c>
      <c r="T176" s="1803"/>
      <c r="U176" s="1803" t="s">
        <v>106</v>
      </c>
      <c r="V176" s="1436"/>
      <c r="W176" s="2572"/>
      <c r="Y176" s="1269"/>
      <c r="Z176" s="1269"/>
      <c r="AA176" s="1269"/>
      <c r="AB176" s="1269"/>
      <c r="AC176" s="1269"/>
      <c r="AD176" s="1269"/>
      <c r="AE176" s="1269"/>
      <c r="AF176" s="1269"/>
      <c r="AG176" s="1269"/>
      <c r="AH176" s="1269"/>
      <c r="AI176" s="1269"/>
      <c r="AJ176" s="1269"/>
      <c r="AK176" s="1269"/>
      <c r="AL176" s="1843"/>
      <c r="AM176" s="1843"/>
      <c r="AN176" s="1269"/>
      <c r="AO176" s="1269"/>
      <c r="AP176" s="1269"/>
      <c r="AQ176" s="1269"/>
    </row>
    <row s="1852" customFormat="1" customHeight="1" ht="17.25">
      <c r="A177" s="1839"/>
      <c r="C177" s="1844"/>
      <c r="D177" s="2546"/>
      <c r="E177" s="2162"/>
      <c r="F177" s="2176"/>
      <c r="G177" s="2552"/>
      <c r="H177" s="2546"/>
      <c r="I177" s="2546"/>
      <c r="J177" s="2572"/>
      <c r="K177" s="2216"/>
      <c r="L177" s="2151"/>
      <c r="M177" s="2151"/>
      <c r="N177" s="2570"/>
      <c r="O177" s="2216"/>
      <c r="P177" s="2151"/>
      <c r="Q177" s="2151"/>
      <c r="R177" s="2551"/>
      <c r="S177" s="2426"/>
      <c r="T177" s="1437"/>
      <c r="U177" s="1438"/>
      <c r="V177" s="1438"/>
      <c r="W177" s="2572"/>
      <c r="Y177" s="1261"/>
      <c r="Z177" s="1261"/>
      <c r="AA177" s="1261"/>
      <c r="AB177" s="1261"/>
      <c r="AC177" s="1261"/>
      <c r="AD177" s="1261"/>
      <c r="AE177" s="1261"/>
      <c r="AF177" s="1261"/>
      <c r="AG177" s="1261"/>
      <c r="AH177" s="1261"/>
      <c r="AI177" s="1261"/>
      <c r="AJ177" s="1261"/>
      <c r="AK177" s="1261"/>
    </row>
    <row s="1852" customFormat="1" customHeight="1" ht="17.25">
      <c r="A178" s="1839"/>
      <c r="C178" s="1844"/>
      <c r="D178" s="2547"/>
      <c r="E178" s="2569"/>
      <c r="F178" s="2176"/>
      <c r="G178" s="2553"/>
      <c r="H178" s="2547"/>
      <c r="I178" s="2547"/>
      <c r="J178" s="2573"/>
      <c r="K178" s="2216"/>
      <c r="L178" s="2547"/>
      <c r="M178" s="2547"/>
      <c r="N178" s="2571"/>
      <c r="O178" s="2155"/>
      <c r="P178" s="319"/>
      <c r="Q178" s="320"/>
      <c r="R178" s="320" t="s">
        <v>410</v>
      </c>
      <c r="S178" s="1845"/>
      <c r="T178" s="1845"/>
      <c r="U178" s="1845"/>
      <c r="V178" s="1845"/>
      <c r="W178" s="1435"/>
      <c r="Y178" s="1261"/>
      <c r="Z178" s="1261"/>
      <c r="AA178" s="1261"/>
      <c r="AB178" s="1261"/>
      <c r="AC178" s="1261"/>
      <c r="AD178" s="1261"/>
      <c r="AE178" s="1261"/>
      <c r="AF178" s="1261"/>
      <c r="AG178" s="1261"/>
      <c r="AH178" s="1261"/>
      <c r="AI178" s="1261"/>
      <c r="AJ178" s="1261"/>
      <c r="AK178" s="1261"/>
    </row>
    <row s="1852" customFormat="1" customHeight="1" ht="17.25">
      <c r="A179" s="1839"/>
      <c r="C179" s="1844"/>
      <c r="D179" s="2547"/>
      <c r="E179" s="2569"/>
      <c r="F179" s="2176"/>
      <c r="G179" s="2553"/>
      <c r="H179" s="2547"/>
      <c r="I179" s="2547"/>
      <c r="J179" s="2573"/>
      <c r="K179" s="2155"/>
      <c r="L179" s="319"/>
      <c r="M179" s="320"/>
      <c r="N179" s="320" t="s">
        <v>411</v>
      </c>
      <c r="O179" s="320"/>
      <c r="P179" s="320"/>
      <c r="Q179" s="320"/>
      <c r="R179" s="320"/>
      <c r="S179" s="1845"/>
      <c r="T179" s="1845"/>
      <c r="U179" s="1845"/>
      <c r="V179" s="1845"/>
      <c r="W179" s="321"/>
      <c r="Y179" s="1261"/>
      <c r="Z179" s="1261"/>
      <c r="AA179" s="1261"/>
      <c r="AB179" s="1261"/>
      <c r="AC179" s="1261"/>
      <c r="AD179" s="1261"/>
      <c r="AE179" s="1261"/>
      <c r="AF179" s="1261"/>
      <c r="AG179" s="1261"/>
      <c r="AH179" s="1261"/>
      <c r="AI179" s="1261"/>
      <c r="AJ179" s="1261"/>
      <c r="AK179" s="1261"/>
    </row>
    <row s="1852" customFormat="1" customHeight="1" ht="17.25">
      <c r="A180" s="1839"/>
      <c r="C180" s="1844"/>
      <c r="D180" s="2547"/>
      <c r="E180" s="2569"/>
      <c r="F180" s="2177"/>
      <c r="G180" s="2553"/>
      <c r="H180" s="319"/>
      <c r="I180" s="320"/>
      <c r="J180" s="320" t="s">
        <v>439</v>
      </c>
      <c r="K180" s="320"/>
      <c r="L180" s="320"/>
      <c r="M180" s="320"/>
      <c r="N180" s="320"/>
      <c r="O180" s="320"/>
      <c r="P180" s="320"/>
      <c r="Q180" s="320"/>
      <c r="R180" s="320"/>
      <c r="S180" s="1845"/>
      <c r="T180" s="1845"/>
      <c r="U180" s="1845"/>
      <c r="V180" s="1845"/>
      <c r="W180" s="321"/>
      <c r="Y180" s="1261"/>
      <c r="Z180" s="1261"/>
      <c r="AA180" s="1261"/>
      <c r="AB180" s="1261"/>
      <c r="AC180" s="1261"/>
      <c r="AD180" s="1261"/>
      <c r="AE180" s="1261"/>
      <c r="AF180" s="1261"/>
      <c r="AG180" s="1261"/>
      <c r="AH180" s="1261"/>
      <c r="AI180" s="1261"/>
      <c r="AJ180" s="1261"/>
      <c r="AK180" s="1261"/>
    </row>
    <row customHeight="1" ht="17.25">
      <c r="A181" s="1849"/>
    </row>
    <row s="1852" customFormat="1" customHeight="1" ht="17.25">
      <c r="A182" s="1839"/>
      <c r="C182" s="1841"/>
      <c r="D182" s="1831"/>
      <c r="E182" s="1846"/>
      <c r="F182" s="1785"/>
      <c r="G182" s="1847"/>
      <c r="H182" s="2546"/>
      <c r="I182" s="2546">
        <v>1</v>
      </c>
      <c r="J182" s="2572"/>
      <c r="K182" s="2215" t="s">
        <v>65</v>
      </c>
      <c r="L182" s="2151"/>
      <c r="M182" s="2151" t="s">
        <v>106</v>
      </c>
      <c r="N182" s="2570" t="str">
        <f>IF(Z182="","",INDEX(TERRITORY_MR_LIST,MATCH(Z182,TERRITORY_LIST_ID,0)))</f>
        <v/>
      </c>
      <c r="O182" s="2215" t="s">
        <v>65</v>
      </c>
      <c r="P182" s="2151"/>
      <c r="Q182" s="2151" t="s">
        <v>106</v>
      </c>
      <c r="R182" s="2551" t="s">
        <v>22</v>
      </c>
      <c r="S182" s="2426" t="s">
        <v>19</v>
      </c>
      <c r="T182" s="1803"/>
      <c r="U182" s="1803" t="s">
        <v>106</v>
      </c>
      <c r="V182" s="1436"/>
      <c r="W182" s="2572"/>
      <c r="Y182" s="1269"/>
      <c r="Z182" s="1269"/>
      <c r="AA182" s="1269"/>
      <c r="AB182" s="1269"/>
      <c r="AC182" s="1269"/>
      <c r="AD182" s="1269"/>
      <c r="AE182" s="1269"/>
      <c r="AF182" s="1269"/>
      <c r="AG182" s="1269"/>
      <c r="AH182" s="1269"/>
      <c r="AI182" s="1269"/>
      <c r="AJ182" s="1269"/>
      <c r="AK182" s="1269"/>
      <c r="AL182" s="1843"/>
      <c r="AM182" s="1843"/>
      <c r="AN182" s="1269"/>
      <c r="AO182" s="1269"/>
      <c r="AP182" s="1269"/>
      <c r="AQ182" s="1269"/>
    </row>
    <row s="1852" customFormat="1" customHeight="1" ht="17.25">
      <c r="A183" s="1839"/>
      <c r="C183" s="1844"/>
      <c r="D183" s="1831"/>
      <c r="E183" s="1846"/>
      <c r="F183" s="1785"/>
      <c r="G183" s="1847"/>
      <c r="H183" s="2546"/>
      <c r="I183" s="2546"/>
      <c r="J183" s="2572"/>
      <c r="K183" s="2216"/>
      <c r="L183" s="2151"/>
      <c r="M183" s="2151"/>
      <c r="N183" s="2570"/>
      <c r="O183" s="2216"/>
      <c r="P183" s="2151"/>
      <c r="Q183" s="2151"/>
      <c r="R183" s="2551"/>
      <c r="S183" s="2426"/>
      <c r="T183" s="1437"/>
      <c r="U183" s="1438"/>
      <c r="V183" s="1438"/>
      <c r="W183" s="2572"/>
      <c r="Y183" s="1261"/>
      <c r="Z183" s="1261"/>
      <c r="AA183" s="1261"/>
      <c r="AB183" s="1261"/>
      <c r="AC183" s="1261"/>
      <c r="AD183" s="1261"/>
      <c r="AE183" s="1261"/>
      <c r="AF183" s="1261"/>
      <c r="AG183" s="1261"/>
      <c r="AH183" s="1261"/>
      <c r="AI183" s="1261"/>
      <c r="AJ183" s="1261"/>
      <c r="AK183" s="1261"/>
    </row>
    <row s="1852" customFormat="1" customHeight="1" ht="17.25">
      <c r="A184" s="1839"/>
      <c r="C184" s="1844"/>
      <c r="D184" s="1831"/>
      <c r="E184" s="1846"/>
      <c r="F184" s="1785"/>
      <c r="G184" s="1847"/>
      <c r="H184" s="2547"/>
      <c r="I184" s="2547"/>
      <c r="J184" s="2573"/>
      <c r="K184" s="2216"/>
      <c r="L184" s="2547"/>
      <c r="M184" s="2547"/>
      <c r="N184" s="2571"/>
      <c r="O184" s="2155"/>
      <c r="P184" s="319"/>
      <c r="Q184" s="320"/>
      <c r="R184" s="320" t="s">
        <v>410</v>
      </c>
      <c r="S184" s="1845"/>
      <c r="T184" s="1845"/>
      <c r="U184" s="1845"/>
      <c r="V184" s="1845"/>
      <c r="W184" s="1435"/>
      <c r="Y184" s="1261"/>
      <c r="Z184" s="1261"/>
      <c r="AA184" s="1261"/>
      <c r="AB184" s="1261"/>
      <c r="AC184" s="1261"/>
      <c r="AD184" s="1261"/>
      <c r="AE184" s="1261"/>
      <c r="AF184" s="1261"/>
      <c r="AG184" s="1261"/>
      <c r="AH184" s="1261"/>
      <c r="AI184" s="1261"/>
      <c r="AJ184" s="1261"/>
      <c r="AK184" s="1261"/>
    </row>
    <row s="1852" customFormat="1" customHeight="1" ht="17.25">
      <c r="A185" s="1839"/>
      <c r="C185" s="1844"/>
      <c r="D185" s="1831"/>
      <c r="E185" s="1846"/>
      <c r="F185" s="1785"/>
      <c r="G185" s="1847"/>
      <c r="H185" s="2547"/>
      <c r="I185" s="2547"/>
      <c r="J185" s="2573"/>
      <c r="K185" s="2155"/>
      <c r="L185" s="319"/>
      <c r="M185" s="320"/>
      <c r="N185" s="320" t="s">
        <v>411</v>
      </c>
      <c r="O185" s="320"/>
      <c r="P185" s="320"/>
      <c r="Q185" s="320"/>
      <c r="R185" s="320"/>
      <c r="S185" s="1845"/>
      <c r="T185" s="1845"/>
      <c r="U185" s="1845"/>
      <c r="V185" s="1845"/>
      <c r="W185" s="321"/>
      <c r="Y185" s="1261"/>
      <c r="Z185" s="1261"/>
      <c r="AA185" s="1261"/>
      <c r="AB185" s="1261"/>
      <c r="AC185" s="1261"/>
      <c r="AD185" s="1261"/>
      <c r="AE185" s="1261"/>
      <c r="AF185" s="1261"/>
      <c r="AG185" s="1261"/>
      <c r="AH185" s="1261"/>
      <c r="AI185" s="1261"/>
      <c r="AJ185" s="1261"/>
      <c r="AK185" s="1261"/>
    </row>
    <row customHeight="1" ht="17.25">
      <c r="A186" s="1849"/>
    </row>
    <row s="1852" customFormat="1" customHeight="1" ht="17.25">
      <c r="A187" s="1839"/>
      <c r="C187" s="1841"/>
      <c r="D187" s="1831"/>
      <c r="E187" s="1846"/>
      <c r="F187" s="1785"/>
      <c r="G187" s="1847"/>
      <c r="H187" s="1831"/>
      <c r="I187" s="1831"/>
      <c r="J187" s="1850"/>
      <c r="K187" s="1847"/>
      <c r="L187" s="2151"/>
      <c r="M187" s="2151" t="s">
        <v>106</v>
      </c>
      <c r="N187" s="2570" t="str">
        <f>IF(Z187="","",INDEX(TERRITORY_MR_LIST,MATCH(Z187,TERRITORY_LIST_ID,0)))</f>
        <v/>
      </c>
      <c r="O187" s="2215" t="s">
        <v>65</v>
      </c>
      <c r="P187" s="2151"/>
      <c r="Q187" s="2151" t="s">
        <v>106</v>
      </c>
      <c r="R187" s="2551" t="s">
        <v>22</v>
      </c>
      <c r="S187" s="2426" t="s">
        <v>19</v>
      </c>
      <c r="T187" s="1803"/>
      <c r="U187" s="1803" t="s">
        <v>106</v>
      </c>
      <c r="V187" s="1436"/>
      <c r="W187" s="2572"/>
      <c r="Y187" s="1269"/>
      <c r="Z187" s="1269"/>
      <c r="AA187" s="1269"/>
      <c r="AB187" s="1269"/>
      <c r="AC187" s="1269"/>
      <c r="AD187" s="1269"/>
      <c r="AE187" s="1269"/>
      <c r="AF187" s="1269"/>
      <c r="AG187" s="1269"/>
      <c r="AH187" s="1269"/>
      <c r="AI187" s="1269"/>
      <c r="AJ187" s="1269"/>
      <c r="AK187" s="1269"/>
      <c r="AL187" s="1843"/>
      <c r="AM187" s="1843"/>
      <c r="AN187" s="1269"/>
      <c r="AO187" s="1269"/>
      <c r="AP187" s="1269"/>
      <c r="AQ187" s="1269"/>
    </row>
    <row s="1852" customFormat="1" customHeight="1" ht="17.25">
      <c r="A188" s="1839"/>
      <c r="C188" s="1844"/>
      <c r="D188" s="1831"/>
      <c r="E188" s="1846"/>
      <c r="F188" s="1785"/>
      <c r="G188" s="1847"/>
      <c r="H188" s="1831"/>
      <c r="I188" s="1831"/>
      <c r="J188" s="1850"/>
      <c r="K188" s="1847"/>
      <c r="L188" s="2151"/>
      <c r="M188" s="2151"/>
      <c r="N188" s="2570"/>
      <c r="O188" s="2216"/>
      <c r="P188" s="2151"/>
      <c r="Q188" s="2151"/>
      <c r="R188" s="2551"/>
      <c r="S188" s="2426"/>
      <c r="T188" s="1437"/>
      <c r="U188" s="1438"/>
      <c r="V188" s="1438"/>
      <c r="W188" s="2572"/>
      <c r="Y188" s="1261"/>
      <c r="Z188" s="1261"/>
      <c r="AA188" s="1261"/>
      <c r="AB188" s="1261"/>
      <c r="AC188" s="1261"/>
      <c r="AD188" s="1261"/>
      <c r="AE188" s="1261"/>
      <c r="AF188" s="1261"/>
      <c r="AG188" s="1261"/>
      <c r="AH188" s="1261"/>
      <c r="AI188" s="1261"/>
      <c r="AJ188" s="1261"/>
      <c r="AK188" s="1261"/>
    </row>
    <row s="1852" customFormat="1" customHeight="1" ht="17.25">
      <c r="A189" s="1839"/>
      <c r="C189" s="1844"/>
      <c r="D189" s="1831"/>
      <c r="E189" s="1846"/>
      <c r="F189" s="1785"/>
      <c r="G189" s="1847"/>
      <c r="H189" s="1831"/>
      <c r="I189" s="1831"/>
      <c r="J189" s="1850"/>
      <c r="K189" s="1847"/>
      <c r="L189" s="2547"/>
      <c r="M189" s="2547"/>
      <c r="N189" s="2571"/>
      <c r="O189" s="2155"/>
      <c r="P189" s="319"/>
      <c r="Q189" s="320"/>
      <c r="R189" s="320" t="s">
        <v>410</v>
      </c>
      <c r="S189" s="1845"/>
      <c r="T189" s="1845"/>
      <c r="U189" s="1845"/>
      <c r="V189" s="1845"/>
      <c r="W189" s="1435"/>
      <c r="Y189" s="1261"/>
      <c r="Z189" s="1261"/>
      <c r="AA189" s="1261"/>
      <c r="AB189" s="1261"/>
      <c r="AC189" s="1261"/>
      <c r="AD189" s="1261"/>
      <c r="AE189" s="1261"/>
      <c r="AF189" s="1261"/>
      <c r="AG189" s="1261"/>
      <c r="AH189" s="1261"/>
      <c r="AI189" s="1261"/>
      <c r="AJ189" s="1261"/>
      <c r="AK189" s="1261"/>
    </row>
    <row customHeight="1" ht="17.25">
      <c r="A190" s="1849"/>
    </row>
    <row s="1852" customFormat="1" customHeight="1" ht="17.25">
      <c r="A191" s="1839"/>
      <c r="C191" s="1841"/>
      <c r="D191" s="1831"/>
      <c r="E191" s="1846"/>
      <c r="F191" s="1785"/>
      <c r="G191" s="1847"/>
      <c r="H191" s="1831"/>
      <c r="I191" s="1831"/>
      <c r="J191" s="1850"/>
      <c r="K191" s="1847"/>
      <c r="L191" s="1831"/>
      <c r="M191" s="1831"/>
      <c r="N191" s="2047"/>
      <c r="O191" s="1788"/>
      <c r="P191" s="2151"/>
      <c r="Q191" s="2151" t="s">
        <v>106</v>
      </c>
      <c r="R191" s="2551" t="s">
        <v>22</v>
      </c>
      <c r="S191" s="2426" t="s">
        <v>19</v>
      </c>
      <c r="T191" s="1803"/>
      <c r="U191" s="1803" t="s">
        <v>106</v>
      </c>
      <c r="V191" s="1436"/>
      <c r="W191" s="2572"/>
      <c r="Y191" s="1269"/>
      <c r="Z191" s="1269"/>
      <c r="AA191" s="1269"/>
      <c r="AB191" s="1269"/>
      <c r="AC191" s="1269"/>
      <c r="AD191" s="1269"/>
      <c r="AE191" s="1269"/>
      <c r="AF191" s="1269"/>
      <c r="AG191" s="1269"/>
      <c r="AH191" s="1269"/>
      <c r="AI191" s="1269"/>
      <c r="AJ191" s="1269"/>
      <c r="AK191" s="1269"/>
      <c r="AL191" s="1843"/>
      <c r="AM191" s="1843"/>
      <c r="AN191" s="1269"/>
      <c r="AO191" s="1269"/>
      <c r="AP191" s="1269"/>
      <c r="AQ191" s="1269"/>
    </row>
    <row s="1852" customFormat="1" customHeight="1" ht="17.25">
      <c r="A192" s="1839"/>
      <c r="C192" s="1844"/>
      <c r="D192" s="1831"/>
      <c r="E192" s="1846"/>
      <c r="F192" s="1785"/>
      <c r="G192" s="1847"/>
      <c r="H192" s="1831"/>
      <c r="I192" s="1831"/>
      <c r="J192" s="1850"/>
      <c r="K192" s="1847"/>
      <c r="L192" s="1831"/>
      <c r="M192" s="1831"/>
      <c r="N192" s="2047"/>
      <c r="O192" s="1788"/>
      <c r="P192" s="2151"/>
      <c r="Q192" s="2151"/>
      <c r="R192" s="2551"/>
      <c r="S192" s="2426"/>
      <c r="T192" s="1437"/>
      <c r="U192" s="1438"/>
      <c r="V192" s="1438"/>
      <c r="W192" s="2572"/>
      <c r="Y192" s="1261"/>
      <c r="Z192" s="1261"/>
      <c r="AA192" s="1261"/>
      <c r="AB192" s="1261"/>
      <c r="AC192" s="1261"/>
      <c r="AD192" s="1261"/>
      <c r="AE192" s="1261"/>
      <c r="AF192" s="1261"/>
      <c r="AG192" s="1261"/>
      <c r="AH192" s="1261"/>
      <c r="AI192" s="1261"/>
      <c r="AJ192" s="1261"/>
      <c r="AK192" s="1261"/>
    </row>
    <row customHeight="1" ht="17.25">
      <c r="A193" s="1849"/>
    </row>
    <row customHeight="1" ht="16.5">
      <c r="A194" s="1839"/>
      <c r="B194" s="1840"/>
      <c r="C194" s="1844"/>
      <c r="D194" s="2583"/>
      <c r="E194" s="2212"/>
      <c r="F194" s="2212"/>
      <c r="G194" s="2140"/>
      <c r="H194" s="2584"/>
      <c r="I194" s="2574"/>
      <c r="J194" s="2168"/>
      <c r="K194" s="2160"/>
      <c r="L194" s="2160"/>
      <c r="M194" s="2160"/>
      <c r="N194" s="2566"/>
      <c r="O194" s="2160"/>
      <c r="P194" s="2160"/>
      <c r="Q194" s="2160"/>
      <c r="R194" s="2576"/>
      <c r="S194" s="2160"/>
      <c r="T194" s="1784"/>
      <c r="U194" s="1784"/>
      <c r="V194" s="1851"/>
      <c r="W194" s="1298"/>
    </row>
    <row customHeight="1" ht="16.5">
      <c r="A195" s="1839"/>
      <c r="B195" s="1840"/>
      <c r="C195" s="1844"/>
      <c r="D195" s="2583"/>
      <c r="E195" s="2212"/>
      <c r="F195" s="2212"/>
      <c r="G195" s="2140"/>
      <c r="H195" s="2585"/>
      <c r="I195" s="2575"/>
      <c r="J195" s="2169"/>
      <c r="K195" s="2161"/>
      <c r="L195" s="2161"/>
      <c r="M195" s="2161"/>
      <c r="N195" s="2567"/>
      <c r="O195" s="2161"/>
      <c r="P195" s="2161"/>
      <c r="Q195" s="2161"/>
      <c r="R195" s="2568"/>
      <c r="S195" s="2161"/>
      <c r="T195" s="1299"/>
      <c r="U195" s="1299"/>
      <c r="V195" s="1299"/>
      <c r="W195" s="1300"/>
    </row>
    <row customHeight="1" ht="17.25">
      <c r="A196" s="1839"/>
      <c r="B196" s="1840"/>
      <c r="C196" s="1844"/>
      <c r="D196" s="2583"/>
      <c r="E196" s="2212"/>
      <c r="F196" s="2212"/>
      <c r="G196" s="2140"/>
      <c r="H196" s="2585"/>
      <c r="I196" s="2575"/>
      <c r="J196" s="2586"/>
      <c r="K196" s="2161"/>
      <c r="L196" s="2161"/>
      <c r="M196" s="2161"/>
      <c r="N196" s="2568"/>
      <c r="O196" s="2161"/>
      <c r="P196" s="1787"/>
      <c r="Q196" s="1299"/>
      <c r="R196" s="1299"/>
      <c r="S196" s="1852"/>
      <c r="T196" s="1852"/>
      <c r="U196" s="1852"/>
      <c r="V196" s="1852"/>
      <c r="W196" s="1300"/>
    </row>
    <row customHeight="1" ht="17.25">
      <c r="A197" s="1839"/>
      <c r="B197" s="1840"/>
      <c r="C197" s="1844"/>
      <c r="D197" s="2583"/>
      <c r="E197" s="2212"/>
      <c r="F197" s="2212"/>
      <c r="G197" s="2140"/>
      <c r="H197" s="2585"/>
      <c r="I197" s="2575"/>
      <c r="J197" s="2586"/>
      <c r="K197" s="2161"/>
      <c r="L197" s="1299"/>
      <c r="M197" s="1299"/>
      <c r="N197" s="1299"/>
      <c r="O197" s="1299"/>
      <c r="P197" s="1299"/>
      <c r="Q197" s="1299"/>
      <c r="R197" s="1299"/>
      <c r="S197" s="1852"/>
      <c r="T197" s="1852"/>
      <c r="U197" s="1852"/>
      <c r="V197" s="1852"/>
      <c r="W197" s="1300"/>
    </row>
    <row customHeight="1" ht="17.25">
      <c r="A198" s="1839"/>
      <c r="B198" s="1840"/>
      <c r="C198" s="1844"/>
      <c r="D198" s="2583"/>
      <c r="E198" s="2212"/>
      <c r="F198" s="2212"/>
      <c r="G198" s="2140"/>
      <c r="H198" s="1301"/>
      <c r="I198" s="1302"/>
      <c r="J198" s="1302"/>
      <c r="K198" s="1302"/>
      <c r="L198" s="1302"/>
      <c r="M198" s="1302"/>
      <c r="N198" s="1302"/>
      <c r="O198" s="1302"/>
      <c r="P198" s="1302"/>
      <c r="Q198" s="1302"/>
      <c r="R198" s="1302"/>
      <c r="S198" s="1853"/>
      <c r="T198" s="1853"/>
      <c r="U198" s="1853"/>
      <c r="V198" s="1853"/>
      <c r="W198" s="1304"/>
    </row>
    <row r="200" s="1816" customFormat="1" customHeight="1" ht="17.25">
      <c r="A200" s="1816" t="s">
        <v>1991</v>
      </c>
    </row>
    <row customHeight="1" ht="17.25">
      <c r="G201" s="1838"/>
      <c r="H201" s="1838"/>
      <c r="I201" s="1838"/>
      <c r="M201" s="1834"/>
    </row>
    <row s="1849" customFormat="1" customHeight="1" ht="15">
      <c r="D202" s="2604"/>
      <c r="E202" s="2207"/>
      <c r="F202" s="2207"/>
      <c r="G202" s="2215"/>
      <c r="H202" s="1566"/>
      <c r="I202" s="2605">
        <v>1</v>
      </c>
      <c r="J202" s="2572"/>
      <c r="K202" s="1581"/>
      <c r="L202" s="2215" t="s">
        <v>65</v>
      </c>
      <c r="M202" s="2215" t="s">
        <v>65</v>
      </c>
      <c r="N202" s="1566"/>
      <c r="O202" s="2151" t="s">
        <v>106</v>
      </c>
      <c r="P202" s="2611"/>
      <c r="Q202" s="1582"/>
      <c r="R202" s="2215" t="s">
        <v>65</v>
      </c>
      <c r="S202" s="2215" t="s">
        <v>65</v>
      </c>
      <c r="T202" s="1854"/>
      <c r="U202" s="2151" t="s">
        <v>106</v>
      </c>
      <c r="V202" s="2601" t="str">
        <f>IF(AK202="","",INDEX(TERRITORY_MR_LIST,MATCH(AK202,TERRITORY_LIST_ID,0)))</f>
        <v/>
      </c>
      <c r="W202" s="1583"/>
      <c r="X202" s="2215" t="s">
        <v>65</v>
      </c>
      <c r="Y202" s="2215" t="s">
        <v>19</v>
      </c>
      <c r="Z202" s="1566"/>
      <c r="AA202" s="2151" t="s">
        <v>106</v>
      </c>
      <c r="AB202" s="2603"/>
      <c r="AC202" s="1584"/>
      <c r="AD202" s="2215" t="s">
        <v>65</v>
      </c>
      <c r="AE202" s="2215" t="s">
        <v>19</v>
      </c>
      <c r="AF202" s="1564"/>
      <c r="AG202" s="1812" t="s">
        <v>106</v>
      </c>
      <c r="AH202" s="1574"/>
      <c r="AI202" s="1802"/>
    </row>
    <row s="1849" customFormat="1" customHeight="1" ht="15">
      <c r="D203" s="2604"/>
      <c r="E203" s="2207"/>
      <c r="F203" s="2207"/>
      <c r="G203" s="2216"/>
      <c r="H203" s="1566"/>
      <c r="I203" s="2605"/>
      <c r="J203" s="2572"/>
      <c r="K203" s="1565"/>
      <c r="L203" s="2216"/>
      <c r="M203" s="2216"/>
      <c r="N203" s="1566"/>
      <c r="O203" s="2151"/>
      <c r="P203" s="2611"/>
      <c r="Q203" s="1562"/>
      <c r="R203" s="2216"/>
      <c r="S203" s="2216"/>
      <c r="T203" s="1854"/>
      <c r="U203" s="2151"/>
      <c r="V203" s="2602"/>
      <c r="W203" s="1563"/>
      <c r="X203" s="2216"/>
      <c r="Y203" s="2216"/>
      <c r="Z203" s="1566"/>
      <c r="AA203" s="2151"/>
      <c r="AB203" s="2515"/>
      <c r="AC203" s="1567"/>
      <c r="AD203" s="2155"/>
      <c r="AE203" s="2155"/>
      <c r="AF203" s="1568"/>
      <c r="AG203" s="1569"/>
      <c r="AH203" s="2607" t="s">
        <v>1992</v>
      </c>
      <c r="AI203" s="2608"/>
    </row>
    <row s="1849" customFormat="1" customHeight="1" ht="15">
      <c r="D204" s="2604"/>
      <c r="E204" s="2207"/>
      <c r="F204" s="2207"/>
      <c r="G204" s="2216"/>
      <c r="H204" s="1566"/>
      <c r="I204" s="2605"/>
      <c r="J204" s="2572"/>
      <c r="K204" s="1565"/>
      <c r="L204" s="2216"/>
      <c r="M204" s="2216"/>
      <c r="N204" s="1566"/>
      <c r="O204" s="2151"/>
      <c r="P204" s="2611"/>
      <c r="Q204" s="1562"/>
      <c r="R204" s="2216"/>
      <c r="S204" s="2216"/>
      <c r="T204" s="1854"/>
      <c r="U204" s="2151"/>
      <c r="V204" s="2602"/>
      <c r="W204" s="1563"/>
      <c r="X204" s="2216"/>
      <c r="Y204" s="2216"/>
      <c r="Z204" s="1605"/>
      <c r="AA204" s="1571"/>
      <c r="AB204" s="2609" t="s">
        <v>1993</v>
      </c>
      <c r="AC204" s="2609"/>
      <c r="AD204" s="2609"/>
      <c r="AE204" s="2609"/>
      <c r="AF204" s="2609"/>
      <c r="AG204" s="2609"/>
      <c r="AH204" s="2609"/>
      <c r="AI204" s="2610"/>
    </row>
    <row s="1849" customFormat="1" customHeight="1" ht="15">
      <c r="D205" s="2604"/>
      <c r="E205" s="2207"/>
      <c r="F205" s="2207"/>
      <c r="G205" s="2216"/>
      <c r="H205" s="1566"/>
      <c r="I205" s="2605"/>
      <c r="J205" s="2572"/>
      <c r="K205" s="1565"/>
      <c r="L205" s="2216"/>
      <c r="M205" s="2216"/>
      <c r="N205" s="1566"/>
      <c r="O205" s="2151"/>
      <c r="P205" s="2612"/>
      <c r="Q205" s="1562"/>
      <c r="R205" s="2216"/>
      <c r="S205" s="2216"/>
      <c r="T205" s="1855"/>
      <c r="U205" s="1606"/>
      <c r="V205" s="2607" t="s">
        <v>100</v>
      </c>
      <c r="W205" s="2607"/>
      <c r="X205" s="2607"/>
      <c r="Y205" s="2607"/>
      <c r="Z205" s="2607"/>
      <c r="AA205" s="2607"/>
      <c r="AB205" s="2607"/>
      <c r="AC205" s="2607"/>
      <c r="AD205" s="2607"/>
      <c r="AE205" s="2607"/>
      <c r="AF205" s="2607"/>
      <c r="AG205" s="2607"/>
      <c r="AH205" s="2607"/>
      <c r="AI205" s="2608"/>
    </row>
    <row s="1849" customFormat="1" customHeight="1" ht="11.25">
      <c r="D206" s="2604"/>
      <c r="E206" s="2207"/>
      <c r="F206" s="2207"/>
      <c r="G206" s="2216"/>
      <c r="H206" s="1570"/>
      <c r="I206" s="2605"/>
      <c r="J206" s="2606"/>
      <c r="K206" s="1565"/>
      <c r="L206" s="2216"/>
      <c r="M206" s="2216"/>
      <c r="N206" s="1570"/>
      <c r="O206" s="1571"/>
      <c r="P206" s="2607" t="s">
        <v>1994</v>
      </c>
      <c r="Q206" s="2607"/>
      <c r="R206" s="2607"/>
      <c r="S206" s="2607"/>
      <c r="T206" s="2607"/>
      <c r="U206" s="2607"/>
      <c r="V206" s="2607"/>
      <c r="W206" s="2607"/>
      <c r="X206" s="2607"/>
      <c r="Y206" s="2607"/>
      <c r="Z206" s="2607"/>
      <c r="AA206" s="2607"/>
      <c r="AB206" s="2607"/>
      <c r="AC206" s="2607"/>
      <c r="AD206" s="2607"/>
      <c r="AE206" s="2607"/>
      <c r="AF206" s="2607"/>
      <c r="AG206" s="2607"/>
      <c r="AH206" s="2607"/>
      <c r="AI206" s="2608"/>
    </row>
    <row s="1556" customFormat="1" customHeight="1" ht="11.25">
      <c r="D207" s="2604"/>
      <c r="E207" s="2207"/>
      <c r="F207" s="2207"/>
      <c r="G207" s="2155"/>
      <c r="H207" s="1572"/>
      <c r="I207" s="1573"/>
      <c r="J207" s="2607" t="s">
        <v>439</v>
      </c>
      <c r="K207" s="2607"/>
      <c r="L207" s="2607"/>
      <c r="M207" s="2607"/>
      <c r="N207" s="2607"/>
      <c r="O207" s="2607"/>
      <c r="P207" s="2607"/>
      <c r="Q207" s="2607"/>
      <c r="R207" s="2607"/>
      <c r="S207" s="2607"/>
      <c r="T207" s="2607"/>
      <c r="U207" s="2607"/>
      <c r="V207" s="2607"/>
      <c r="W207" s="2607"/>
      <c r="X207" s="2607"/>
      <c r="Y207" s="2607"/>
      <c r="Z207" s="2607"/>
      <c r="AA207" s="2607"/>
      <c r="AB207" s="2607"/>
      <c r="AC207" s="2607"/>
      <c r="AD207" s="2607"/>
      <c r="AE207" s="2607"/>
      <c r="AF207" s="2607"/>
      <c r="AG207" s="2607"/>
      <c r="AH207" s="2607"/>
      <c r="AI207" s="2608"/>
      <c r="BK207" s="1576"/>
    </row>
    <row customHeight="1" ht="17.25">
      <c r="G208" s="1838"/>
      <c r="I208" s="1838"/>
      <c r="J208" s="1838"/>
      <c r="N208" s="1834"/>
    </row>
    <row s="1849" customFormat="1" customHeight="1" ht="15">
      <c r="D209" s="2604"/>
      <c r="E209" s="2207"/>
      <c r="F209" s="2207"/>
      <c r="G209" s="2212"/>
      <c r="H209" s="1601"/>
      <c r="I209" s="2217"/>
      <c r="J209" s="2168"/>
      <c r="K209" s="1786"/>
      <c r="L209" s="2160"/>
      <c r="M209" s="2160"/>
      <c r="N209" s="1586"/>
      <c r="O209" s="2160"/>
      <c r="P209" s="2168"/>
      <c r="Q209" s="1790"/>
      <c r="R209" s="2160"/>
      <c r="S209" s="2160"/>
      <c r="T209" s="1856"/>
      <c r="U209" s="2160"/>
      <c r="V209" s="2168"/>
      <c r="W209" s="1589"/>
      <c r="X209" s="2160"/>
      <c r="Y209" s="2160"/>
      <c r="Z209" s="1586"/>
      <c r="AA209" s="2160"/>
      <c r="AB209" s="2168"/>
      <c r="AC209" s="1590"/>
      <c r="AD209" s="2160"/>
      <c r="AE209" s="2160"/>
      <c r="AF209" s="1784"/>
      <c r="AG209" s="1784"/>
      <c r="AH209" s="1591"/>
      <c r="AI209" s="1298"/>
    </row>
    <row s="1849" customFormat="1" customHeight="1" ht="15">
      <c r="D210" s="2604"/>
      <c r="E210" s="2207"/>
      <c r="F210" s="2207"/>
      <c r="G210" s="2212"/>
      <c r="H210" s="1602"/>
      <c r="I210" s="2218"/>
      <c r="J210" s="2169"/>
      <c r="K210" s="1612"/>
      <c r="L210" s="2161"/>
      <c r="M210" s="2161"/>
      <c r="N210" s="1592"/>
      <c r="O210" s="2161"/>
      <c r="P210" s="2169"/>
      <c r="Q210" s="1791"/>
      <c r="R210" s="2161"/>
      <c r="S210" s="2161"/>
      <c r="T210" s="1857"/>
      <c r="U210" s="2161"/>
      <c r="V210" s="2169"/>
      <c r="W210" s="1595"/>
      <c r="X210" s="2161"/>
      <c r="Y210" s="2161"/>
      <c r="Z210" s="1592"/>
      <c r="AA210" s="2161"/>
      <c r="AB210" s="2169"/>
      <c r="AC210" s="1596"/>
      <c r="AD210" s="2161"/>
      <c r="AE210" s="2161"/>
      <c r="AF210" s="1789"/>
      <c r="AG210" s="1789"/>
      <c r="AH210" s="2221"/>
      <c r="AI210" s="2222"/>
    </row>
    <row s="1849" customFormat="1" customHeight="1" ht="15">
      <c r="D211" s="2604"/>
      <c r="E211" s="2207"/>
      <c r="F211" s="2207"/>
      <c r="G211" s="2212"/>
      <c r="H211" s="1602"/>
      <c r="I211" s="2218"/>
      <c r="J211" s="2169"/>
      <c r="K211" s="1612"/>
      <c r="L211" s="2161"/>
      <c r="M211" s="2161"/>
      <c r="N211" s="1592"/>
      <c r="O211" s="2161"/>
      <c r="P211" s="2169"/>
      <c r="Q211" s="1791"/>
      <c r="R211" s="2161"/>
      <c r="S211" s="2161"/>
      <c r="T211" s="1857"/>
      <c r="U211" s="2161"/>
      <c r="V211" s="2169"/>
      <c r="W211" s="1595"/>
      <c r="X211" s="2161"/>
      <c r="Y211" s="2161"/>
      <c r="Z211" s="1787"/>
      <c r="AA211" s="1789"/>
      <c r="AB211" s="2221"/>
      <c r="AC211" s="2221"/>
      <c r="AD211" s="2221"/>
      <c r="AE211" s="2221"/>
      <c r="AF211" s="2221"/>
      <c r="AG211" s="2221"/>
      <c r="AH211" s="2221"/>
      <c r="AI211" s="2222"/>
    </row>
    <row s="1849" customFormat="1" customHeight="1" ht="15">
      <c r="D212" s="2604"/>
      <c r="E212" s="2207"/>
      <c r="F212" s="2207"/>
      <c r="G212" s="2212"/>
      <c r="H212" s="1602"/>
      <c r="I212" s="2218"/>
      <c r="J212" s="2169"/>
      <c r="K212" s="1612"/>
      <c r="L212" s="2161"/>
      <c r="M212" s="2161"/>
      <c r="N212" s="1592"/>
      <c r="O212" s="2161"/>
      <c r="P212" s="2169"/>
      <c r="Q212" s="1791"/>
      <c r="R212" s="2161"/>
      <c r="S212" s="2161"/>
      <c r="T212" s="1858"/>
      <c r="U212" s="1599"/>
      <c r="V212" s="2221"/>
      <c r="W212" s="2221"/>
      <c r="X212" s="2221"/>
      <c r="Y212" s="2221"/>
      <c r="Z212" s="2221"/>
      <c r="AA212" s="2221"/>
      <c r="AB212" s="2221"/>
      <c r="AC212" s="2221"/>
      <c r="AD212" s="2221"/>
      <c r="AE212" s="2221"/>
      <c r="AF212" s="2221"/>
      <c r="AG212" s="2221"/>
      <c r="AH212" s="2221"/>
      <c r="AI212" s="2222"/>
    </row>
    <row s="1849" customFormat="1" customHeight="1" ht="11.25">
      <c r="D213" s="2604"/>
      <c r="E213" s="2207"/>
      <c r="F213" s="2207"/>
      <c r="G213" s="2212"/>
      <c r="H213" s="1603"/>
      <c r="I213" s="2218"/>
      <c r="J213" s="2169"/>
      <c r="K213" s="1612"/>
      <c r="L213" s="2161"/>
      <c r="M213" s="2161"/>
      <c r="N213" s="1789"/>
      <c r="O213" s="1789"/>
      <c r="P213" s="2221"/>
      <c r="Q213" s="2221"/>
      <c r="R213" s="2221"/>
      <c r="S213" s="2221"/>
      <c r="T213" s="2221"/>
      <c r="U213" s="2221"/>
      <c r="V213" s="2221"/>
      <c r="W213" s="2221"/>
      <c r="X213" s="2221"/>
      <c r="Y213" s="2221"/>
      <c r="Z213" s="2221"/>
      <c r="AA213" s="2221"/>
      <c r="AB213" s="2221"/>
      <c r="AC213" s="2221"/>
      <c r="AD213" s="2221"/>
      <c r="AE213" s="2221"/>
      <c r="AF213" s="2221"/>
      <c r="AG213" s="2221"/>
      <c r="AH213" s="2221"/>
      <c r="AI213" s="2222"/>
    </row>
    <row s="1556" customFormat="1" customHeight="1" ht="11.25">
      <c r="D214" s="2604"/>
      <c r="E214" s="2207"/>
      <c r="F214" s="2207"/>
      <c r="G214" s="2223"/>
      <c r="H214" s="1600"/>
      <c r="I214" s="1604"/>
      <c r="J214" s="2219"/>
      <c r="K214" s="2219"/>
      <c r="L214" s="2219"/>
      <c r="M214" s="2219"/>
      <c r="N214" s="2219"/>
      <c r="O214" s="2219"/>
      <c r="P214" s="2219"/>
      <c r="Q214" s="2219"/>
      <c r="R214" s="2219"/>
      <c r="S214" s="2219"/>
      <c r="T214" s="2219"/>
      <c r="U214" s="2219"/>
      <c r="V214" s="2219"/>
      <c r="W214" s="2219"/>
      <c r="X214" s="2219"/>
      <c r="Y214" s="2219"/>
      <c r="Z214" s="2219"/>
      <c r="AA214" s="2219"/>
      <c r="AB214" s="2219"/>
      <c r="AC214" s="2219"/>
      <c r="AD214" s="2219"/>
      <c r="AE214" s="2219"/>
      <c r="AF214" s="2219"/>
      <c r="AG214" s="2219"/>
      <c r="AH214" s="2219"/>
      <c r="AI214" s="2220"/>
      <c r="BK214" s="1576"/>
    </row>
    <row customHeight="1" ht="17.25">
      <c r="A215" s="1849"/>
    </row>
  </sheetData>
  <sheetProtection formatColumns="0" formatRows="0" sort="0" autoFilter="0" insertRows="0" insertColumns="1" deleteRows="0" deleteColumns="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D3B5F-8F28-FB1C-4916-D692C69330C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1995</v>
      </c>
      <c r="B1" s="848"/>
      <c r="C1" s="984" t="s">
        <v>1996</v>
      </c>
      <c r="D1" s="982" t="s">
        <v>819</v>
      </c>
      <c r="E1" s="982" t="s">
        <v>865</v>
      </c>
      <c r="F1" s="982" t="s">
        <v>918</v>
      </c>
      <c r="G1" s="982" t="s">
        <v>905</v>
      </c>
      <c r="H1" s="982" t="s">
        <v>1675</v>
      </c>
    </row>
    <row customHeight="1" ht="9">
      <c r="A2" s="985" t="s">
        <v>1997</v>
      </c>
      <c r="B2" s="985"/>
      <c r="C2" s="986" t="str">
        <f>INDEX(TEMPLATE_NUMBER_FORM_LIST,MATCH(TEMPLATE_SPHERE,TEMPLATE_SPHERE_LIST,0))</f>
        <v>10</v>
      </c>
      <c r="D2" s="985" t="s">
        <v>1525</v>
      </c>
      <c r="E2" s="985" t="s">
        <v>146</v>
      </c>
      <c r="F2" s="987" t="s">
        <v>146</v>
      </c>
      <c r="G2" s="985" t="s">
        <v>146</v>
      </c>
      <c r="H2" s="988"/>
    </row>
    <row customHeight="1" ht="63">
      <c r="A3" s="848"/>
      <c r="B3" s="848" t="s">
        <v>106</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1998</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1999</v>
      </c>
      <c r="B4" s="848" t="s">
        <v>107</v>
      </c>
      <c r="C4" s="986" t="str">
        <f>IF(TEMPLATE_SPHERE="HEAT",D4,IF(TEMPLATE_SPHERE="TKO",H4,E4))</f>
        <v>Форма 1. Информация об организации, осуществляющей холодное водоснабжение (общая информация)</v>
      </c>
      <c r="D4" s="985" t="s">
        <v>2000</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2001</v>
      </c>
    </row>
    <row customHeight="1" ht="117">
      <c r="A5" s="848" t="s">
        <v>2002</v>
      </c>
      <c r="B5" s="848" t="s">
        <v>90</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2003</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2004</v>
      </c>
    </row>
    <row customHeight="1" ht="90">
      <c r="A6" s="848" t="s">
        <v>2005</v>
      </c>
      <c r="B6" s="848" t="s">
        <v>91</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2006</v>
      </c>
      <c r="B7" s="848" t="s">
        <v>108</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2007</v>
      </c>
      <c r="E7" s="848" t="s">
        <v>2008</v>
      </c>
      <c r="F7" s="988"/>
      <c r="G7" s="988"/>
      <c r="H7" s="988"/>
    </row>
    <row customHeight="1" ht="108">
      <c r="A8" s="848" t="s">
        <v>2009</v>
      </c>
      <c r="B8" s="848" t="s">
        <v>92</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1209</v>
      </c>
      <c r="E8" s="848" t="s">
        <v>2010</v>
      </c>
      <c r="F8" s="988"/>
      <c r="G8" s="988"/>
      <c r="H8" s="988"/>
    </row>
    <row customHeight="1" ht="99">
      <c r="A9" s="848" t="s">
        <v>2011</v>
      </c>
      <c r="B9" s="848"/>
      <c r="C9" s="848" t="s">
        <v>2012</v>
      </c>
      <c r="D9" s="848"/>
      <c r="E9" s="848"/>
      <c r="F9" s="988"/>
      <c r="G9" s="988"/>
      <c r="H9" s="988"/>
    </row>
    <row customHeight="1" ht="126">
      <c r="A10" s="848" t="s">
        <v>2013</v>
      </c>
      <c r="B10" s="848"/>
      <c r="C10" s="848" t="s">
        <v>2014</v>
      </c>
      <c r="D10" s="848"/>
      <c r="E10" s="848"/>
      <c r="F10" s="988"/>
      <c r="G10" s="988"/>
      <c r="H10" s="988"/>
    </row>
    <row customHeight="1" ht="108">
      <c r="A11" s="848" t="s">
        <v>2015</v>
      </c>
      <c r="B11" s="848"/>
      <c r="C11" s="848" t="s">
        <v>2016</v>
      </c>
      <c r="D11" s="848"/>
      <c r="E11" s="848"/>
      <c r="F11" s="988"/>
      <c r="G11" s="988"/>
      <c r="H11" s="988"/>
    </row>
    <row customHeight="1" ht="54">
      <c r="A12" s="848" t="s">
        <v>2017</v>
      </c>
      <c r="B12" s="848"/>
      <c r="C12" s="848" t="s">
        <v>2018</v>
      </c>
      <c r="D12" s="848"/>
      <c r="E12" s="848"/>
      <c r="F12" s="988"/>
      <c r="G12" s="988"/>
      <c r="H12" s="988"/>
    </row>
    <row customHeight="1" ht="45">
      <c r="A13" s="848" t="s">
        <v>2019</v>
      </c>
      <c r="B13" s="848"/>
      <c r="C13" s="848" t="s">
        <v>2020</v>
      </c>
      <c r="D13" s="848"/>
      <c r="E13" s="848"/>
      <c r="F13" s="988"/>
      <c r="G13" s="988"/>
      <c r="H13" s="988"/>
    </row>
    <row customHeight="1" ht="117">
      <c r="A14" s="848" t="s">
        <v>2021</v>
      </c>
      <c r="B14" s="848"/>
      <c r="C14" s="848" t="s">
        <v>2022</v>
      </c>
      <c r="D14" s="848"/>
      <c r="E14" s="848"/>
      <c r="F14" s="988"/>
      <c r="G14" s="988"/>
      <c r="H14" s="988"/>
    </row>
    <row customHeight="1" ht="117">
      <c r="A15" s="848" t="s">
        <v>2023</v>
      </c>
      <c r="B15" s="848"/>
      <c r="C15" s="848" t="s">
        <v>2024</v>
      </c>
      <c r="D15" s="848"/>
      <c r="E15" s="848"/>
      <c r="F15" s="988"/>
      <c r="G15" s="988"/>
      <c r="H15" s="988"/>
    </row>
    <row customHeight="1" ht="63">
      <c r="A16" s="848" t="s">
        <v>2025</v>
      </c>
      <c r="B16" s="848"/>
      <c r="C16" s="848" t="s">
        <v>2026</v>
      </c>
      <c r="D16" s="848"/>
      <c r="E16" s="848"/>
      <c r="F16" s="988"/>
      <c r="G16" s="988"/>
      <c r="H16" s="988"/>
    </row>
    <row customHeight="1" ht="54">
      <c r="A17" s="848" t="s">
        <v>2027</v>
      </c>
      <c r="B17" s="848"/>
      <c r="C17" s="986" t="s">
        <v>2028</v>
      </c>
      <c r="D17" s="848"/>
      <c r="E17" s="848"/>
      <c r="F17" s="988"/>
      <c r="G17" s="988"/>
      <c r="H17" s="988"/>
    </row>
    <row customHeight="1" ht="27">
      <c r="A18" s="848" t="s">
        <v>2029</v>
      </c>
      <c r="B18" s="848"/>
      <c r="C18" s="986" t="s">
        <v>2030</v>
      </c>
      <c r="D18" s="848"/>
      <c r="E18" s="848"/>
      <c r="F18" s="988"/>
      <c r="G18" s="988"/>
      <c r="H18" s="988"/>
    </row>
    <row customHeight="1" ht="54">
      <c r="A19" s="848" t="s">
        <v>2031</v>
      </c>
      <c r="B19" s="848"/>
      <c r="C19" s="986" t="s">
        <v>2032</v>
      </c>
      <c r="D19" s="848"/>
      <c r="E19" s="848"/>
      <c r="F19" s="988"/>
      <c r="G19" s="988"/>
      <c r="H19" s="988"/>
    </row>
    <row customHeight="1" ht="36">
      <c r="A20" s="848" t="s">
        <v>2033</v>
      </c>
      <c r="B20" s="848"/>
      <c r="C20" s="986" t="s">
        <v>2034</v>
      </c>
      <c r="D20" s="848"/>
      <c r="E20" s="848"/>
      <c r="F20" s="988"/>
      <c r="G20" s="988"/>
      <c r="H20" s="988"/>
    </row>
    <row customHeight="1" ht="36">
      <c r="A21" s="848" t="s">
        <v>2035</v>
      </c>
      <c r="B21" s="848"/>
      <c r="C21" s="986" t="s">
        <v>2036</v>
      </c>
      <c r="D21" s="848"/>
      <c r="E21" s="848"/>
      <c r="F21" s="988"/>
      <c r="G21" s="988"/>
      <c r="H21" s="988"/>
    </row>
    <row customHeight="1" ht="27">
      <c r="A22" s="848" t="s">
        <v>2037</v>
      </c>
      <c r="B22" s="848"/>
      <c r="C22" s="986" t="s">
        <v>2038</v>
      </c>
      <c r="D22" s="848"/>
      <c r="E22" s="848"/>
      <c r="F22" s="988"/>
      <c r="G22" s="988"/>
      <c r="H22" s="988"/>
    </row>
    <row customHeight="1" ht="36">
      <c r="A23" s="848" t="s">
        <v>2039</v>
      </c>
      <c r="B23" s="848"/>
      <c r="C23" s="986" t="s">
        <v>2040</v>
      </c>
      <c r="D23" s="848"/>
      <c r="E23" s="848"/>
      <c r="F23" s="988"/>
      <c r="G23" s="988"/>
      <c r="H23" s="988"/>
    </row>
    <row customHeight="1" ht="28.5">
      <c r="A24" s="848" t="s">
        <v>2041</v>
      </c>
      <c r="B24" s="848"/>
      <c r="C24" s="986" t="s">
        <v>2042</v>
      </c>
      <c r="D24" s="848"/>
      <c r="E24" s="848"/>
      <c r="F24" s="988"/>
      <c r="G24" s="988"/>
      <c r="H24" s="988"/>
    </row>
    <row customHeight="1" ht="36">
      <c r="A25" s="848" t="s">
        <v>2043</v>
      </c>
      <c r="B25" s="848"/>
      <c r="C25" s="986" t="s">
        <v>2044</v>
      </c>
      <c r="D25" s="848"/>
      <c r="E25" s="848"/>
      <c r="F25" s="988"/>
      <c r="G25" s="988"/>
      <c r="H25" s="988"/>
    </row>
    <row customHeight="1" ht="27">
      <c r="A26" s="848" t="s">
        <v>2045</v>
      </c>
      <c r="B26" s="848"/>
      <c r="C26" s="986" t="s">
        <v>2046</v>
      </c>
      <c r="D26" s="848"/>
      <c r="E26" s="848"/>
      <c r="F26" s="988"/>
      <c r="G26" s="988"/>
      <c r="H26" s="988"/>
    </row>
    <row customHeight="1" ht="36">
      <c r="A27" s="848" t="s">
        <v>2047</v>
      </c>
      <c r="B27" s="848"/>
      <c r="C27" s="986" t="s">
        <v>2048</v>
      </c>
      <c r="D27" s="848"/>
      <c r="E27" s="848"/>
      <c r="F27" s="988"/>
      <c r="G27" s="988"/>
      <c r="H27" s="988"/>
    </row>
    <row customHeight="1" ht="28.5">
      <c r="A28" s="848" t="s">
        <v>2049</v>
      </c>
      <c r="B28" s="848"/>
      <c r="C28" s="986" t="s">
        <v>2050</v>
      </c>
      <c r="D28" s="848"/>
      <c r="E28" s="848"/>
      <c r="F28" s="988"/>
      <c r="G28" s="988"/>
      <c r="H28" s="988"/>
    </row>
    <row customHeight="1" ht="126">
      <c r="A29" s="848" t="s">
        <v>2051</v>
      </c>
      <c r="B29" s="848" t="s">
        <v>1626</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2052</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2053</v>
      </c>
    </row>
    <row customHeight="1" ht="36">
      <c r="A30" s="848" t="s">
        <v>2054</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2055</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2056</v>
      </c>
      <c r="B31" s="848"/>
      <c r="C31" s="986" t="str">
        <f>IF(TEMPLATE_SPHERE="HEAT",D31,IF(TEMPLATE_SPHERE="TKO",H31,E31))</f>
        <v>Форма 1. Информация об организации, осуществляющей холодное водоснабжение (общая информация)</v>
      </c>
      <c r="D31" s="848" t="s">
        <v>2057</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2058</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2059</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2060</v>
      </c>
    </row>
    <row customHeight="1" ht="9">
      <c r="A33" s="848"/>
      <c r="B33" s="848"/>
      <c r="C33" s="986"/>
      <c r="D33" s="848"/>
      <c r="E33" s="848"/>
      <c r="F33" s="988"/>
      <c r="G33" s="988"/>
      <c r="H33" s="988"/>
    </row>
    <row customHeight="1" ht="9">
      <c r="A34" s="848"/>
      <c r="B34" s="848" t="s">
        <v>1563</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377C278-4DD3-DA05-B2B8-5CD0FC14C16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2061</v>
      </c>
      <c r="D1" s="900"/>
      <c r="E1" s="900"/>
      <c r="F1" s="900"/>
      <c r="G1" s="900"/>
      <c r="H1" s="900" t="s">
        <v>2062</v>
      </c>
      <c r="I1" s="900"/>
      <c r="J1" s="900"/>
      <c r="K1" s="900"/>
      <c r="L1" s="900"/>
      <c r="M1" s="900" t="s">
        <v>2063</v>
      </c>
      <c r="N1" s="900" t="s">
        <v>2064</v>
      </c>
      <c r="O1" s="2617" t="s">
        <v>2065</v>
      </c>
      <c r="P1" s="2617"/>
      <c r="Q1" s="2617"/>
      <c r="R1" s="2617"/>
      <c r="S1" s="2617"/>
      <c r="T1" s="2617" t="s">
        <v>2063</v>
      </c>
      <c r="U1" s="2617"/>
      <c r="V1" s="2617"/>
      <c r="W1" s="2617"/>
      <c r="X1" s="2617"/>
      <c r="Y1" s="1001"/>
      <c r="Z1" s="2617" t="s">
        <v>2066</v>
      </c>
      <c r="AA1" s="2617"/>
      <c r="AB1" s="2617"/>
      <c r="AC1" s="2617"/>
      <c r="AD1" s="2617"/>
    </row>
    <row customHeight="1" ht="18">
      <c r="A2" s="848"/>
      <c r="B2" s="848"/>
      <c r="C2" s="843" t="s">
        <v>819</v>
      </c>
      <c r="D2" s="843" t="s">
        <v>865</v>
      </c>
      <c r="E2" s="843" t="s">
        <v>918</v>
      </c>
      <c r="F2" s="843" t="s">
        <v>905</v>
      </c>
      <c r="G2" s="843" t="s">
        <v>1675</v>
      </c>
      <c r="H2" s="845"/>
      <c r="I2" s="845"/>
      <c r="J2" s="845"/>
      <c r="K2" s="845"/>
      <c r="L2" s="845"/>
      <c r="M2" s="845"/>
      <c r="N2" s="845"/>
      <c r="O2" s="843" t="s">
        <v>819</v>
      </c>
      <c r="P2" s="843" t="s">
        <v>865</v>
      </c>
      <c r="Q2" s="843" t="s">
        <v>905</v>
      </c>
      <c r="R2" s="843" t="s">
        <v>918</v>
      </c>
      <c r="S2" s="843" t="s">
        <v>1675</v>
      </c>
      <c r="T2" s="843" t="s">
        <v>819</v>
      </c>
      <c r="U2" s="843" t="s">
        <v>865</v>
      </c>
      <c r="V2" s="843" t="s">
        <v>905</v>
      </c>
      <c r="W2" s="843" t="s">
        <v>918</v>
      </c>
      <c r="X2" s="843" t="s">
        <v>1675</v>
      </c>
      <c r="Y2" s="843"/>
      <c r="Z2" s="843" t="s">
        <v>819</v>
      </c>
      <c r="AA2" s="852" t="s">
        <v>865</v>
      </c>
      <c r="AB2" s="843" t="s">
        <v>905</v>
      </c>
      <c r="AC2" s="843" t="s">
        <v>918</v>
      </c>
      <c r="AD2" s="843" t="s">
        <v>1675</v>
      </c>
    </row>
    <row customHeight="1" ht="162">
      <c r="A3" s="847" t="s">
        <v>27</v>
      </c>
      <c r="B3" s="847"/>
      <c r="C3" s="2621" t="s">
        <v>2067</v>
      </c>
      <c r="D3" s="2622"/>
      <c r="E3" s="2622"/>
      <c r="F3" s="2623"/>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2068</v>
      </c>
      <c r="AA3" s="845" t="s">
        <v>2069</v>
      </c>
      <c r="AB3" s="848" t="s">
        <v>2070</v>
      </c>
      <c r="AC3" s="848" t="s">
        <v>2071</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618" t="s">
        <v>33</v>
      </c>
      <c r="B11" s="901">
        <v>1</v>
      </c>
      <c r="C11" s="2624" t="s">
        <v>1613</v>
      </c>
      <c r="D11" s="2624" t="s">
        <v>1609</v>
      </c>
      <c r="E11" s="2624" t="s">
        <v>1707</v>
      </c>
      <c r="F11" s="2624" t="s">
        <v>2072</v>
      </c>
      <c r="G11" s="2624"/>
      <c r="H11" s="900" t="s">
        <v>2073</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2074</v>
      </c>
      <c r="U11" s="845" t="s">
        <v>2075</v>
      </c>
      <c r="V11" s="845"/>
      <c r="W11" s="845"/>
      <c r="X11" s="845"/>
      <c r="Y11" s="1002"/>
      <c r="Z11" s="848" t="s">
        <v>2076</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618"/>
      <c r="B12" s="901">
        <v>2</v>
      </c>
      <c r="C12" s="2625"/>
      <c r="D12" s="2625"/>
      <c r="E12" s="2625"/>
      <c r="F12" s="2625"/>
      <c r="G12" s="2625"/>
      <c r="H12" s="900" t="s">
        <v>2077</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2078</v>
      </c>
      <c r="U12" s="845" t="s">
        <v>2079</v>
      </c>
      <c r="V12" s="845"/>
      <c r="W12" s="845"/>
      <c r="X12" s="845"/>
      <c r="Y12" s="1002"/>
      <c r="Z12" s="848" t="s">
        <v>2080</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618"/>
      <c r="B13" s="901">
        <v>3</v>
      </c>
      <c r="C13" s="2625"/>
      <c r="D13" s="2625"/>
      <c r="E13" s="2625"/>
      <c r="F13" s="2625"/>
      <c r="G13" s="2625"/>
      <c r="H13" s="2617" t="s">
        <v>2081</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2082</v>
      </c>
      <c r="U13" s="846" t="s">
        <v>2083</v>
      </c>
      <c r="V13" s="846"/>
      <c r="W13" s="846"/>
      <c r="X13" s="845"/>
      <c r="Y13" s="1002"/>
      <c r="Z13" s="848" t="s">
        <v>2084</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618"/>
      <c r="B14" s="901">
        <v>4</v>
      </c>
      <c r="C14" s="2625"/>
      <c r="D14" s="2625"/>
      <c r="E14" s="2625"/>
      <c r="F14" s="2625"/>
      <c r="G14" s="2625"/>
      <c r="H14" s="2617"/>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2085</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2086</v>
      </c>
      <c r="AA14" s="851" t="s">
        <v>2086</v>
      </c>
      <c r="AB14" s="848"/>
      <c r="AC14" s="848"/>
      <c r="AD14" s="848"/>
    </row>
    <row customHeight="1" ht="108">
      <c r="A15" s="2618"/>
      <c r="B15" s="901">
        <v>5</v>
      </c>
      <c r="C15" s="2625"/>
      <c r="D15" s="2625"/>
      <c r="E15" s="2625"/>
      <c r="F15" s="2625"/>
      <c r="G15" s="2625"/>
      <c r="H15" s="2619" t="s">
        <v>2087</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2088</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2089</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26"/>
      <c r="D16" s="2626"/>
      <c r="E16" s="2626"/>
      <c r="F16" s="2626"/>
      <c r="G16" s="2626"/>
      <c r="H16" s="2620"/>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2089</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1710</v>
      </c>
      <c r="B18" s="901">
        <v>1</v>
      </c>
      <c r="C18" s="845" t="s">
        <v>2073</v>
      </c>
      <c r="D18" s="969" t="s">
        <v>2073</v>
      </c>
      <c r="E18" s="845" t="s">
        <v>2073</v>
      </c>
      <c r="F18" s="845" t="s">
        <v>2073</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2090</v>
      </c>
      <c r="U18" s="848" t="s">
        <v>2091</v>
      </c>
      <c r="V18" s="848" t="s">
        <v>2092</v>
      </c>
      <c r="W18" s="848" t="s">
        <v>2093</v>
      </c>
      <c r="X18" s="845"/>
      <c r="Y18" s="1002"/>
      <c r="Z18" s="848" t="s">
        <v>2094</v>
      </c>
      <c r="AA18" s="851" t="s">
        <v>2095</v>
      </c>
      <c r="AB18" s="851" t="s">
        <v>2095</v>
      </c>
      <c r="AC18" s="851" t="s">
        <v>2095</v>
      </c>
      <c r="AD18" s="848"/>
    </row>
    <row customHeight="1" ht="36">
      <c r="A19" s="847"/>
      <c r="B19" s="901">
        <v>2</v>
      </c>
      <c r="C19" s="845" t="s">
        <v>2077</v>
      </c>
      <c r="D19" s="969" t="s">
        <v>2077</v>
      </c>
      <c r="E19" s="845" t="s">
        <v>2077</v>
      </c>
      <c r="F19" s="845" t="s">
        <v>2077</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2096</v>
      </c>
      <c r="U19" s="848" t="s">
        <v>2097</v>
      </c>
      <c r="V19" s="848" t="s">
        <v>2098</v>
      </c>
      <c r="W19" s="848" t="s">
        <v>2099</v>
      </c>
      <c r="X19" s="845"/>
      <c r="Y19" s="1002"/>
      <c r="Z19" s="848" t="s">
        <v>2100</v>
      </c>
      <c r="AA19" s="851" t="s">
        <v>2100</v>
      </c>
      <c r="AB19" s="851" t="s">
        <v>2100</v>
      </c>
      <c r="AC19" s="851" t="s">
        <v>2100</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702</v>
      </c>
      <c r="P20" s="959" t="s">
        <v>702</v>
      </c>
      <c r="Q20" s="959" t="s">
        <v>702</v>
      </c>
      <c r="R20" s="959" t="s">
        <v>702</v>
      </c>
      <c r="S20" s="959"/>
      <c r="T20" s="966" t="s">
        <v>2101</v>
      </c>
      <c r="U20" s="848" t="s">
        <v>2102</v>
      </c>
      <c r="V20" s="848" t="s">
        <v>2103</v>
      </c>
      <c r="W20" s="848" t="s">
        <v>2104</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302</v>
      </c>
      <c r="P21" s="959"/>
      <c r="Q21" s="959"/>
      <c r="R21" s="959"/>
      <c r="S21" s="959"/>
      <c r="T21" s="966" t="s">
        <v>2105</v>
      </c>
      <c r="U21" s="848"/>
      <c r="V21" s="848"/>
      <c r="W21" s="848"/>
      <c r="X21" s="845"/>
      <c r="Y21" s="1002"/>
      <c r="Z21" s="848" t="s">
        <v>2106</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302</v>
      </c>
      <c r="R22" s="959"/>
      <c r="S22" s="959"/>
      <c r="T22" s="966"/>
      <c r="U22" s="848"/>
      <c r="V22" s="848" t="s">
        <v>2107</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305</v>
      </c>
      <c r="R23" s="959"/>
      <c r="S23" s="959"/>
      <c r="T23" s="966"/>
      <c r="U23" s="848"/>
      <c r="V23" s="848" t="s">
        <v>2108</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722</v>
      </c>
      <c r="R24" s="959"/>
      <c r="S24" s="959"/>
      <c r="T24" s="966"/>
      <c r="U24" s="848"/>
      <c r="V24" s="848" t="s">
        <v>2109</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305</v>
      </c>
      <c r="P25" s="959" t="s">
        <v>302</v>
      </c>
      <c r="Q25" s="959" t="s">
        <v>729</v>
      </c>
      <c r="R25" s="959" t="s">
        <v>302</v>
      </c>
      <c r="S25" s="959"/>
      <c r="T25" s="966" t="s">
        <v>2110</v>
      </c>
      <c r="U25" s="848" t="s">
        <v>2110</v>
      </c>
      <c r="V25" s="848" t="s">
        <v>2110</v>
      </c>
      <c r="W25" s="848" t="s">
        <v>2110</v>
      </c>
      <c r="X25" s="845"/>
      <c r="Y25" s="1002"/>
      <c r="Z25" s="848"/>
      <c r="AA25" s="851"/>
      <c r="AB25" s="848"/>
      <c r="AC25" s="848"/>
      <c r="AD25" s="848"/>
    </row>
    <row customHeight="1" ht="18">
      <c r="A26" s="847"/>
      <c r="B26" s="901">
        <v>9</v>
      </c>
      <c r="C26" s="845" t="s">
        <v>645</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718</v>
      </c>
      <c r="P26" s="959" t="s">
        <v>712</v>
      </c>
      <c r="Q26" s="959" t="s">
        <v>2111</v>
      </c>
      <c r="R26" s="959" t="s">
        <v>712</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2112</v>
      </c>
      <c r="V26" s="966" t="s">
        <v>2112</v>
      </c>
      <c r="W26" s="966" t="s">
        <v>2112</v>
      </c>
      <c r="X26" s="845"/>
      <c r="Y26" s="1002"/>
      <c r="Z26" s="848"/>
      <c r="AA26" s="851"/>
      <c r="AB26" s="848"/>
      <c r="AC26" s="848"/>
      <c r="AD26" s="848"/>
    </row>
    <row customHeight="1" ht="18">
      <c r="A27" s="847"/>
      <c r="B27" s="901">
        <v>10</v>
      </c>
      <c r="C27" s="845" t="s">
        <v>649</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720</v>
      </c>
      <c r="P27" s="959" t="s">
        <v>714</v>
      </c>
      <c r="Q27" s="959" t="s">
        <v>2113</v>
      </c>
      <c r="R27" s="959" t="s">
        <v>714</v>
      </c>
      <c r="S27" s="959"/>
      <c r="T27" s="966" t="s">
        <v>2114</v>
      </c>
      <c r="U27" s="966" t="s">
        <v>2114</v>
      </c>
      <c r="V27" s="966" t="s">
        <v>2114</v>
      </c>
      <c r="W27" s="966" t="s">
        <v>2114</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722</v>
      </c>
      <c r="P28" s="959"/>
      <c r="Q28" s="959"/>
      <c r="R28" s="959"/>
      <c r="S28" s="959"/>
      <c r="T28" s="966" t="s">
        <v>2115</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729</v>
      </c>
      <c r="P29" s="959" t="s">
        <v>305</v>
      </c>
      <c r="Q29" s="959"/>
      <c r="R29" s="959" t="s">
        <v>305</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2116</v>
      </c>
      <c r="V29" s="848"/>
      <c r="W29" s="848" t="s">
        <v>2116</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731</v>
      </c>
      <c r="P30" s="959" t="s">
        <v>722</v>
      </c>
      <c r="Q30" s="959" t="s">
        <v>731</v>
      </c>
      <c r="R30" s="959" t="s">
        <v>722</v>
      </c>
      <c r="S30" s="959"/>
      <c r="T30" s="966" t="s">
        <v>2117</v>
      </c>
      <c r="U30" s="848" t="s">
        <v>2117</v>
      </c>
      <c r="V30" s="848" t="s">
        <v>2117</v>
      </c>
      <c r="W30" s="848" t="s">
        <v>2117</v>
      </c>
      <c r="X30" s="845"/>
      <c r="Y30" s="1002"/>
      <c r="Z30" s="848"/>
      <c r="AA30" s="851" t="s">
        <v>2118</v>
      </c>
      <c r="AB30" s="851" t="s">
        <v>2118</v>
      </c>
      <c r="AC30" s="851" t="s">
        <v>2118</v>
      </c>
      <c r="AD30" s="848"/>
    </row>
    <row customHeight="1" ht="18">
      <c r="A31" s="847"/>
      <c r="B31" s="901">
        <v>14</v>
      </c>
      <c r="C31" s="845" t="s">
        <v>2119</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2120</v>
      </c>
      <c r="P31" s="959" t="s">
        <v>725</v>
      </c>
      <c r="Q31" s="959" t="s">
        <v>2120</v>
      </c>
      <c r="R31" s="959" t="s">
        <v>725</v>
      </c>
      <c r="S31" s="959"/>
      <c r="T31" s="967" t="s">
        <v>2121</v>
      </c>
      <c r="U31" s="848" t="s">
        <v>2121</v>
      </c>
      <c r="V31" s="848" t="s">
        <v>2121</v>
      </c>
      <c r="W31" s="848" t="s">
        <v>2121</v>
      </c>
      <c r="X31" s="845"/>
      <c r="Y31" s="1002"/>
      <c r="Z31" s="848"/>
      <c r="AA31" s="851"/>
      <c r="AB31" s="851"/>
      <c r="AC31" s="851"/>
      <c r="AD31" s="848"/>
    </row>
    <row customHeight="1" ht="36">
      <c r="A32" s="847"/>
      <c r="B32" s="901">
        <v>15</v>
      </c>
      <c r="C32" s="845" t="s">
        <v>2122</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2123</v>
      </c>
      <c r="P32" s="959" t="s">
        <v>727</v>
      </c>
      <c r="Q32" s="959" t="s">
        <v>2123</v>
      </c>
      <c r="R32" s="959" t="s">
        <v>727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2124</v>
      </c>
      <c r="V32" s="848" t="s">
        <v>2124</v>
      </c>
      <c r="W32" s="848" t="s">
        <v>2124</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733</v>
      </c>
      <c r="P33" s="959" t="s">
        <v>729</v>
      </c>
      <c r="Q33" s="959" t="s">
        <v>733</v>
      </c>
      <c r="R33" s="959" t="s">
        <v>729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2125</v>
      </c>
      <c r="V33" s="848" t="s">
        <v>2125</v>
      </c>
      <c r="W33" s="848" t="s">
        <v>2126</v>
      </c>
      <c r="X33" s="845"/>
      <c r="Y33" s="1002"/>
      <c r="Z33" s="848"/>
      <c r="AA33" s="851" t="s">
        <v>2127</v>
      </c>
      <c r="AB33" s="851" t="s">
        <v>2127</v>
      </c>
      <c r="AC33" s="851" t="s">
        <v>2127</v>
      </c>
      <c r="AD33" s="848"/>
    </row>
    <row customHeight="1" ht="27">
      <c r="A34" s="847"/>
      <c r="B34" s="901">
        <v>17</v>
      </c>
      <c r="C34" s="845" t="s">
        <v>2128</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2129</v>
      </c>
      <c r="P34" s="959" t="s">
        <v>2111</v>
      </c>
      <c r="Q34" s="959" t="s">
        <v>2129</v>
      </c>
      <c r="R34" s="959" t="s">
        <v>2111</v>
      </c>
      <c r="S34" s="959"/>
      <c r="T34" s="968" t="s">
        <v>2130</v>
      </c>
      <c r="U34" s="848" t="s">
        <v>2130</v>
      </c>
      <c r="V34" s="848" t="s">
        <v>2130</v>
      </c>
      <c r="W34" s="848" t="s">
        <v>2131</v>
      </c>
      <c r="X34" s="845"/>
      <c r="Y34" s="1002"/>
      <c r="Z34" s="848"/>
      <c r="AA34" s="851"/>
      <c r="AB34" s="848"/>
      <c r="AC34" s="848"/>
      <c r="AD34" s="848"/>
    </row>
    <row customHeight="1" ht="45">
      <c r="A35" s="847"/>
      <c r="B35" s="901">
        <v>18</v>
      </c>
      <c r="C35" s="845" t="s">
        <v>2132</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2133</v>
      </c>
      <c r="P35" s="959" t="s">
        <v>2113</v>
      </c>
      <c r="Q35" s="959" t="s">
        <v>2133</v>
      </c>
      <c r="R35" s="959" t="s">
        <v>2113</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2134</v>
      </c>
      <c r="V35" s="848" t="s">
        <v>2134</v>
      </c>
      <c r="W35" s="848" t="s">
        <v>2134</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735</v>
      </c>
      <c r="P36" s="959" t="s">
        <v>731</v>
      </c>
      <c r="Q36" s="959" t="s">
        <v>735</v>
      </c>
      <c r="R36" s="959" t="s">
        <v>731</v>
      </c>
      <c r="S36" s="959"/>
      <c r="T36" s="966" t="s">
        <v>2135</v>
      </c>
      <c r="U36" s="848" t="s">
        <v>2135</v>
      </c>
      <c r="V36" s="848" t="s">
        <v>2135</v>
      </c>
      <c r="W36" s="848" t="s">
        <v>2135</v>
      </c>
      <c r="X36" s="845"/>
      <c r="Y36" s="1002"/>
      <c r="Z36" s="848"/>
      <c r="AA36" s="851"/>
      <c r="AB36" s="848"/>
      <c r="AC36" s="848"/>
      <c r="AD36" s="848"/>
    </row>
    <row customHeight="1" ht="18">
      <c r="A37" s="847"/>
      <c r="B37" s="901">
        <v>20</v>
      </c>
      <c r="C37" s="845" t="s">
        <v>2136</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2137</v>
      </c>
      <c r="P37" s="959" t="s">
        <v>2120</v>
      </c>
      <c r="Q37" s="959" t="s">
        <v>2137</v>
      </c>
      <c r="R37" s="959" t="s">
        <v>2120</v>
      </c>
      <c r="S37" s="959"/>
      <c r="T37" s="966" t="s">
        <v>2138</v>
      </c>
      <c r="U37" s="848" t="s">
        <v>2138</v>
      </c>
      <c r="V37" s="848" t="s">
        <v>2138</v>
      </c>
      <c r="W37" s="848" t="s">
        <v>2138</v>
      </c>
      <c r="X37" s="845"/>
      <c r="Y37" s="1002"/>
      <c r="Z37" s="848"/>
      <c r="AA37" s="851"/>
      <c r="AB37" s="848"/>
      <c r="AC37" s="848"/>
      <c r="AD37" s="848"/>
    </row>
    <row customHeight="1" ht="18">
      <c r="A38" s="847"/>
      <c r="B38" s="901">
        <v>21</v>
      </c>
      <c r="C38" s="845" t="s">
        <v>2139</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2140</v>
      </c>
      <c r="P38" s="959" t="s">
        <v>2123</v>
      </c>
      <c r="Q38" s="959" t="s">
        <v>2140</v>
      </c>
      <c r="R38" s="959" t="s">
        <v>2123</v>
      </c>
      <c r="S38" s="959"/>
      <c r="T38" s="966" t="s">
        <v>2141</v>
      </c>
      <c r="U38" s="848" t="s">
        <v>2141</v>
      </c>
      <c r="V38" s="848" t="s">
        <v>2141</v>
      </c>
      <c r="W38" s="848" t="s">
        <v>2141</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739</v>
      </c>
      <c r="P39" s="959" t="s">
        <v>733</v>
      </c>
      <c r="Q39" s="959" t="s">
        <v>739</v>
      </c>
      <c r="R39" s="959" t="s">
        <v>733</v>
      </c>
      <c r="S39" s="959"/>
      <c r="T39" s="966" t="s">
        <v>2142</v>
      </c>
      <c r="U39" s="848" t="s">
        <v>2143</v>
      </c>
      <c r="V39" s="848" t="s">
        <v>2144</v>
      </c>
      <c r="W39" s="848" t="s">
        <v>2145</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791</v>
      </c>
      <c r="P40" s="959" t="s">
        <v>735</v>
      </c>
      <c r="Q40" s="959" t="s">
        <v>791</v>
      </c>
      <c r="R40" s="959" t="s">
        <v>735</v>
      </c>
      <c r="S40" s="959"/>
      <c r="T40" s="845" t="s">
        <v>2146</v>
      </c>
      <c r="U40" s="845" t="s">
        <v>2146</v>
      </c>
      <c r="V40" s="845" t="s">
        <v>2146</v>
      </c>
      <c r="W40" s="845" t="s">
        <v>2146</v>
      </c>
      <c r="X40" s="845"/>
      <c r="Y40" s="1002"/>
      <c r="Z40" s="848" t="s">
        <v>2147</v>
      </c>
      <c r="AA40" s="851" t="s">
        <v>2147</v>
      </c>
      <c r="AB40" s="851" t="s">
        <v>2147</v>
      </c>
      <c r="AC40" s="851" t="s">
        <v>2147</v>
      </c>
      <c r="AD40" s="848"/>
    </row>
    <row customHeight="1" ht="27">
      <c r="A41" s="847"/>
      <c r="B41" s="901">
        <v>24</v>
      </c>
      <c r="C41" s="845" t="s">
        <v>2148</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2149</v>
      </c>
      <c r="P41" s="959" t="s">
        <v>2137</v>
      </c>
      <c r="Q41" s="959" t="s">
        <v>2149</v>
      </c>
      <c r="R41" s="959" t="s">
        <v>2137</v>
      </c>
      <c r="S41" s="959"/>
      <c r="T41" s="845" t="s">
        <v>2150</v>
      </c>
      <c r="U41" s="845" t="s">
        <v>2150</v>
      </c>
      <c r="V41" s="845" t="s">
        <v>2150</v>
      </c>
      <c r="W41" s="845" t="s">
        <v>2150</v>
      </c>
      <c r="X41" s="845"/>
      <c r="Y41" s="1002"/>
      <c r="Z41" s="848" t="s">
        <v>2151</v>
      </c>
      <c r="AA41" s="848" t="s">
        <v>2151</v>
      </c>
      <c r="AB41" s="848" t="s">
        <v>2151</v>
      </c>
      <c r="AC41" s="848" t="s">
        <v>2151</v>
      </c>
      <c r="AD41" s="848"/>
    </row>
    <row customHeight="1" ht="27">
      <c r="A42" s="847"/>
      <c r="B42" s="901">
        <v>25</v>
      </c>
      <c r="C42" s="845" t="s">
        <v>2152</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2153</v>
      </c>
      <c r="P42" s="959" t="s">
        <v>2140</v>
      </c>
      <c r="Q42" s="959" t="s">
        <v>2153</v>
      </c>
      <c r="R42" s="959" t="s">
        <v>2140</v>
      </c>
      <c r="S42" s="959"/>
      <c r="T42" s="845" t="s">
        <v>2154</v>
      </c>
      <c r="U42" s="845" t="s">
        <v>2154</v>
      </c>
      <c r="V42" s="845" t="s">
        <v>2154</v>
      </c>
      <c r="W42" s="845" t="s">
        <v>2154</v>
      </c>
      <c r="X42" s="845"/>
      <c r="Y42" s="1002"/>
      <c r="Z42" s="848" t="s">
        <v>2155</v>
      </c>
      <c r="AA42" s="848" t="s">
        <v>2155</v>
      </c>
      <c r="AB42" s="848" t="s">
        <v>2155</v>
      </c>
      <c r="AC42" s="848" t="s">
        <v>2155</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2156</v>
      </c>
      <c r="P43" s="959" t="s">
        <v>739</v>
      </c>
      <c r="Q43" s="959" t="s">
        <v>2156</v>
      </c>
      <c r="R43" s="959" t="s">
        <v>739</v>
      </c>
      <c r="S43" s="959"/>
      <c r="T43" s="845" t="s">
        <v>2157</v>
      </c>
      <c r="U43" s="845" t="s">
        <v>2157</v>
      </c>
      <c r="V43" s="845" t="s">
        <v>2157</v>
      </c>
      <c r="W43" s="845" t="s">
        <v>2157</v>
      </c>
      <c r="X43" s="845"/>
      <c r="Y43" s="1002"/>
      <c r="Z43" s="848" t="s">
        <v>2158</v>
      </c>
      <c r="AA43" s="848" t="s">
        <v>2158</v>
      </c>
      <c r="AB43" s="848" t="s">
        <v>2158</v>
      </c>
      <c r="AC43" s="848" t="s">
        <v>2158</v>
      </c>
      <c r="AD43" s="848"/>
    </row>
    <row customHeight="1" ht="27">
      <c r="A44" s="847"/>
      <c r="B44" s="901">
        <v>27</v>
      </c>
      <c r="C44" s="845" t="s">
        <v>2159</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2160</v>
      </c>
      <c r="P44" s="959" t="s">
        <v>742</v>
      </c>
      <c r="Q44" s="959" t="s">
        <v>2160</v>
      </c>
      <c r="R44" s="959" t="s">
        <v>742</v>
      </c>
      <c r="S44" s="959"/>
      <c r="T44" s="845" t="s">
        <v>2150</v>
      </c>
      <c r="U44" s="845" t="s">
        <v>2150</v>
      </c>
      <c r="V44" s="845" t="s">
        <v>2150</v>
      </c>
      <c r="W44" s="845" t="s">
        <v>2150</v>
      </c>
      <c r="X44" s="845"/>
      <c r="Y44" s="1002"/>
      <c r="Z44" s="848" t="s">
        <v>2161</v>
      </c>
      <c r="AA44" s="848" t="s">
        <v>2161</v>
      </c>
      <c r="AB44" s="848" t="s">
        <v>2161</v>
      </c>
      <c r="AC44" s="848" t="s">
        <v>2161</v>
      </c>
      <c r="AD44" s="848"/>
    </row>
    <row customHeight="1" ht="27">
      <c r="A45" s="847"/>
      <c r="B45" s="901">
        <v>28</v>
      </c>
      <c r="C45" s="845" t="s">
        <v>2162</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2163</v>
      </c>
      <c r="P45" s="959" t="s">
        <v>745</v>
      </c>
      <c r="Q45" s="959" t="s">
        <v>2163</v>
      </c>
      <c r="R45" s="959" t="s">
        <v>745</v>
      </c>
      <c r="S45" s="959"/>
      <c r="T45" s="845" t="s">
        <v>2154</v>
      </c>
      <c r="U45" s="845" t="s">
        <v>2154</v>
      </c>
      <c r="V45" s="845" t="s">
        <v>2154</v>
      </c>
      <c r="W45" s="845" t="s">
        <v>2154</v>
      </c>
      <c r="X45" s="845"/>
      <c r="Y45" s="1002"/>
      <c r="Z45" s="848" t="s">
        <v>2164</v>
      </c>
      <c r="AA45" s="848" t="s">
        <v>2164</v>
      </c>
      <c r="AB45" s="848" t="s">
        <v>2164</v>
      </c>
      <c r="AC45" s="848" t="s">
        <v>2164</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2165</v>
      </c>
      <c r="P46" s="959" t="s">
        <v>791</v>
      </c>
      <c r="Q46" s="959" t="s">
        <v>2165</v>
      </c>
      <c r="R46" s="959" t="s">
        <v>791</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2166</v>
      </c>
      <c r="V46" s="845" t="s">
        <v>2166</v>
      </c>
      <c r="W46" s="845" t="s">
        <v>2166</v>
      </c>
      <c r="X46" s="845"/>
      <c r="Y46" s="1002"/>
      <c r="Z46" s="848" t="s">
        <v>2167</v>
      </c>
      <c r="AA46" s="848" t="s">
        <v>2168</v>
      </c>
      <c r="AB46" s="848" t="s">
        <v>2168</v>
      </c>
      <c r="AC46" s="848" t="s">
        <v>2168</v>
      </c>
      <c r="AD46" s="848"/>
    </row>
    <row customHeight="1" ht="54">
      <c r="A47" s="847"/>
      <c r="B47" s="901">
        <v>30</v>
      </c>
      <c r="C47" s="845" t="s">
        <v>2169</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2170</v>
      </c>
      <c r="P47" s="959" t="s">
        <v>2149</v>
      </c>
      <c r="Q47" s="959" t="s">
        <v>2170</v>
      </c>
      <c r="R47" s="959" t="s">
        <v>2149</v>
      </c>
      <c r="S47" s="959"/>
      <c r="T47" s="845" t="s">
        <v>2171</v>
      </c>
      <c r="U47" s="845" t="s">
        <v>2171</v>
      </c>
      <c r="V47" s="845" t="s">
        <v>2171</v>
      </c>
      <c r="W47" s="845" t="s">
        <v>2171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2156</v>
      </c>
      <c r="Q48" s="959" t="s">
        <v>2172</v>
      </c>
      <c r="R48" s="959" t="s">
        <v>2156</v>
      </c>
      <c r="S48" s="959"/>
      <c r="T48" s="845"/>
      <c r="U48" s="845" t="s">
        <v>2173</v>
      </c>
      <c r="V48" s="845" t="s">
        <v>2174</v>
      </c>
      <c r="W48" s="845" t="s">
        <v>2174</v>
      </c>
      <c r="X48" s="845"/>
      <c r="Y48" s="1002"/>
      <c r="Z48" s="848"/>
      <c r="AA48" s="851" t="s">
        <v>2168</v>
      </c>
      <c r="AB48" s="851" t="s">
        <v>2168</v>
      </c>
      <c r="AC48" s="851" t="s">
        <v>2168</v>
      </c>
      <c r="AD48" s="848"/>
    </row>
    <row customHeight="1" ht="54">
      <c r="A49" s="847"/>
      <c r="B49" s="901">
        <v>32</v>
      </c>
      <c r="C49" s="845" t="s">
        <v>2175</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2160</v>
      </c>
      <c r="Q49" s="959" t="s">
        <v>2176</v>
      </c>
      <c r="R49" s="959" t="s">
        <v>2160</v>
      </c>
      <c r="S49" s="959"/>
      <c r="T49" s="845"/>
      <c r="U49" s="845" t="s">
        <v>2171</v>
      </c>
      <c r="V49" s="845" t="s">
        <v>2171</v>
      </c>
      <c r="W49" s="845" t="s">
        <v>2171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2172</v>
      </c>
      <c r="P50" s="959" t="s">
        <v>2165</v>
      </c>
      <c r="Q50" s="959" t="s">
        <v>2177</v>
      </c>
      <c r="R50" s="959" t="s">
        <v>2165</v>
      </c>
      <c r="S50" s="959"/>
      <c r="T50" s="845" t="s">
        <v>2178</v>
      </c>
      <c r="U50" s="845" t="s">
        <v>2179</v>
      </c>
      <c r="V50" s="845" t="s">
        <v>2180</v>
      </c>
      <c r="W50" s="845" t="s">
        <v>2181</v>
      </c>
      <c r="X50" s="845"/>
      <c r="Y50" s="1002"/>
      <c r="Z50" s="848" t="s">
        <v>2182</v>
      </c>
      <c r="AA50" s="851" t="s">
        <v>2183</v>
      </c>
      <c r="AB50" s="851" t="s">
        <v>2183</v>
      </c>
      <c r="AC50" s="851" t="s">
        <v>2183</v>
      </c>
      <c r="AD50" s="848"/>
    </row>
    <row customHeight="1" ht="27">
      <c r="A51" s="847"/>
      <c r="B51" s="901">
        <v>34</v>
      </c>
      <c r="C51" s="845" t="s">
        <v>2184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90</v>
      </c>
      <c r="P51" s="959"/>
      <c r="Q51" s="959"/>
      <c r="R51" s="959"/>
      <c r="S51" s="959"/>
      <c r="T51" s="845" t="s">
        <v>2185</v>
      </c>
      <c r="U51" s="845"/>
      <c r="V51" s="845"/>
      <c r="W51" s="845"/>
      <c r="X51" s="845"/>
      <c r="Y51" s="1002"/>
      <c r="Z51" s="848"/>
      <c r="AA51" s="851"/>
      <c r="AB51" s="851"/>
      <c r="AC51" s="851"/>
      <c r="AD51" s="848"/>
    </row>
    <row customHeight="1" ht="36">
      <c r="A52" s="847"/>
      <c r="B52" s="901">
        <v>35</v>
      </c>
      <c r="C52" s="845" t="s">
        <v>2081</v>
      </c>
      <c r="D52" s="969" t="s">
        <v>2081</v>
      </c>
      <c r="E52" s="845" t="s">
        <v>2081</v>
      </c>
      <c r="F52" s="845" t="s">
        <v>2081</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2186</v>
      </c>
      <c r="U52" s="845" t="s">
        <v>2187</v>
      </c>
      <c r="V52" s="845" t="s">
        <v>2188</v>
      </c>
      <c r="W52" s="845" t="s">
        <v>2189</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319</v>
      </c>
      <c r="Q53" s="959" t="s">
        <v>319</v>
      </c>
      <c r="R53" s="959" t="s">
        <v>319</v>
      </c>
      <c r="S53" s="959"/>
      <c r="T53" s="845" t="s">
        <v>2190</v>
      </c>
      <c r="U53" s="845" t="s">
        <v>2190</v>
      </c>
      <c r="V53" s="845" t="s">
        <v>2190</v>
      </c>
      <c r="W53" s="845" t="s">
        <v>2190</v>
      </c>
      <c r="X53" s="845"/>
      <c r="Y53" s="1002"/>
      <c r="Z53" s="848"/>
      <c r="AA53" s="851"/>
      <c r="AB53" s="848"/>
      <c r="AC53" s="848"/>
      <c r="AD53" s="848"/>
    </row>
    <row customHeight="1" ht="18">
      <c r="A54" s="847"/>
      <c r="B54" s="901">
        <v>37</v>
      </c>
      <c r="C54" s="845" t="s">
        <v>2087</v>
      </c>
      <c r="D54" s="969" t="s">
        <v>2087</v>
      </c>
      <c r="E54" s="845" t="s">
        <v>2087</v>
      </c>
      <c r="F54" s="845" t="s">
        <v>2087</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108</v>
      </c>
      <c r="P54" s="959" t="s">
        <v>91</v>
      </c>
      <c r="Q54" s="959" t="s">
        <v>91</v>
      </c>
      <c r="R54" s="959" t="s">
        <v>91</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308</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2191</v>
      </c>
      <c r="V55" s="845" t="s">
        <v>2191</v>
      </c>
      <c r="W55" s="845" t="s">
        <v>2191</v>
      </c>
      <c r="X55" s="845"/>
      <c r="Y55" s="1002"/>
      <c r="Z55" s="848" t="s">
        <v>2192</v>
      </c>
      <c r="AA55" s="848" t="s">
        <v>2192</v>
      </c>
      <c r="AB55" s="848" t="s">
        <v>2192</v>
      </c>
      <c r="AC55" s="848" t="s">
        <v>2192</v>
      </c>
      <c r="AD55" s="848"/>
    </row>
    <row customHeight="1" ht="27">
      <c r="A56" s="847"/>
      <c r="B56" s="901">
        <v>39</v>
      </c>
      <c r="C56" s="845" t="s">
        <v>1070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1193</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2193</v>
      </c>
      <c r="V56" s="845" t="s">
        <v>2193</v>
      </c>
      <c r="W56" s="845" t="s">
        <v>2193</v>
      </c>
      <c r="X56" s="845"/>
      <c r="Y56" s="1002"/>
      <c r="Z56" s="848" t="s">
        <v>758</v>
      </c>
      <c r="AA56" s="848" t="s">
        <v>758</v>
      </c>
      <c r="AB56" s="848" t="s">
        <v>758</v>
      </c>
      <c r="AC56" s="848" t="s">
        <v>758</v>
      </c>
      <c r="AD56" s="848"/>
    </row>
    <row customHeight="1" ht="27">
      <c r="A57" s="847"/>
      <c r="B57" s="901">
        <v>40</v>
      </c>
      <c r="C57" s="845" t="s">
        <v>1072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2194</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2195</v>
      </c>
      <c r="V57" s="845" t="s">
        <v>2195</v>
      </c>
      <c r="W57" s="845" t="s">
        <v>2195</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893</v>
      </c>
      <c r="P58" s="959" t="s">
        <v>797</v>
      </c>
      <c r="Q58" s="959" t="s">
        <v>797</v>
      </c>
      <c r="R58" s="959" t="s">
        <v>797</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2196</v>
      </c>
      <c r="V58" s="845" t="s">
        <v>2196</v>
      </c>
      <c r="W58" s="845" t="s">
        <v>2196</v>
      </c>
      <c r="X58" s="845"/>
      <c r="Y58" s="1002"/>
      <c r="Z58" s="848"/>
      <c r="AA58" s="851"/>
      <c r="AB58" s="848"/>
      <c r="AC58" s="848"/>
      <c r="AD58" s="848"/>
    </row>
    <row customHeight="1" ht="36">
      <c r="A59" s="847"/>
      <c r="B59" s="901">
        <v>42</v>
      </c>
      <c r="C59" s="845">
        <v>3</v>
      </c>
      <c r="D59" s="969" t="s">
        <v>2184</v>
      </c>
      <c r="E59" s="845" t="s">
        <v>2184</v>
      </c>
      <c r="F59" s="845" t="s">
        <v>2184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108</v>
      </c>
      <c r="Q59" s="959" t="s">
        <v>108</v>
      </c>
      <c r="R59" s="959" t="s">
        <v>108</v>
      </c>
      <c r="S59" s="959"/>
      <c r="T59" s="845"/>
      <c r="U59" s="845" t="s">
        <v>2197</v>
      </c>
      <c r="V59" s="845" t="s">
        <v>2198</v>
      </c>
      <c r="W59" s="845" t="s">
        <v>2199</v>
      </c>
      <c r="X59" s="845"/>
      <c r="Y59" s="1002"/>
      <c r="Z59" s="848"/>
      <c r="AA59" s="851"/>
      <c r="AB59" s="848"/>
      <c r="AC59" s="848"/>
      <c r="AD59" s="848"/>
    </row>
    <row customHeight="1" ht="81">
      <c r="A60" s="847"/>
      <c r="B60" s="901">
        <v>43</v>
      </c>
      <c r="C60" s="845" t="s">
        <v>2200</v>
      </c>
      <c r="D60" s="969" t="s">
        <v>2200</v>
      </c>
      <c r="E60" s="845" t="s">
        <v>2200</v>
      </c>
      <c r="F60" s="845" t="s">
        <v>2200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92</v>
      </c>
      <c r="P60" s="959" t="s">
        <v>92</v>
      </c>
      <c r="Q60" s="959" t="s">
        <v>92</v>
      </c>
      <c r="R60" s="959" t="s">
        <v>92</v>
      </c>
      <c r="S60" s="959"/>
      <c r="T60" s="845" t="s">
        <v>622</v>
      </c>
      <c r="U60" s="845" t="s">
        <v>622</v>
      </c>
      <c r="V60" s="845" t="s">
        <v>622</v>
      </c>
      <c r="W60" s="845" t="s">
        <v>622</v>
      </c>
      <c r="X60" s="845"/>
      <c r="Y60" s="1002"/>
      <c r="Z60" s="848" t="s">
        <v>2201</v>
      </c>
      <c r="AA60" s="851" t="s">
        <v>2202</v>
      </c>
      <c r="AB60" s="848" t="s">
        <v>2203</v>
      </c>
      <c r="AC60" s="848" t="s">
        <v>2202</v>
      </c>
      <c r="AD60" s="848"/>
    </row>
    <row customHeight="1" ht="9">
      <c r="A61" s="847"/>
      <c r="B61" s="901">
        <v>44</v>
      </c>
      <c r="C61" s="845"/>
      <c r="D61" s="969" t="s">
        <v>2204</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93</v>
      </c>
      <c r="Q61" s="959"/>
      <c r="R61" s="959"/>
      <c r="S61" s="959"/>
      <c r="T61" s="845"/>
      <c r="U61" s="845" t="s">
        <v>2205</v>
      </c>
      <c r="V61" s="845"/>
      <c r="W61" s="845"/>
      <c r="X61" s="845"/>
      <c r="Y61" s="1002"/>
      <c r="Z61" s="848"/>
      <c r="AA61" s="851"/>
      <c r="AB61" s="848"/>
      <c r="AC61" s="848"/>
      <c r="AD61" s="848"/>
    </row>
    <row customHeight="1" ht="9">
      <c r="A62" s="847"/>
      <c r="B62" s="901">
        <v>45</v>
      </c>
      <c r="C62" s="845"/>
      <c r="D62" s="969" t="s">
        <v>2206</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109</v>
      </c>
      <c r="Q62" s="959"/>
      <c r="R62" s="959"/>
      <c r="S62" s="959"/>
      <c r="T62" s="845"/>
      <c r="U62" s="845" t="s">
        <v>2207</v>
      </c>
      <c r="V62" s="845"/>
      <c r="W62" s="845"/>
      <c r="X62" s="845"/>
      <c r="Y62" s="1002"/>
      <c r="Z62" s="848"/>
      <c r="AA62" s="851"/>
      <c r="AB62" s="848"/>
      <c r="AC62" s="848"/>
      <c r="AD62" s="848"/>
    </row>
    <row customHeight="1" ht="18">
      <c r="A63" s="847"/>
      <c r="B63" s="901">
        <v>46</v>
      </c>
      <c r="C63" s="845"/>
      <c r="D63" s="969" t="s">
        <v>2208</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145</v>
      </c>
      <c r="Q63" s="959"/>
      <c r="R63" s="959"/>
      <c r="S63" s="959"/>
      <c r="T63" s="845"/>
      <c r="U63" s="845" t="s">
        <v>2209</v>
      </c>
      <c r="V63" s="845"/>
      <c r="W63" s="845"/>
      <c r="X63" s="845"/>
      <c r="Y63" s="1002"/>
      <c r="Z63" s="848"/>
      <c r="AA63" s="851"/>
      <c r="AB63" s="848"/>
      <c r="AC63" s="848"/>
      <c r="AD63" s="848"/>
    </row>
    <row customHeight="1" ht="18">
      <c r="A64" s="847"/>
      <c r="B64" s="901">
        <v>47</v>
      </c>
      <c r="C64" s="845"/>
      <c r="D64" s="969" t="s">
        <v>2210</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146</v>
      </c>
      <c r="Q64" s="959"/>
      <c r="R64" s="959"/>
      <c r="S64" s="959"/>
      <c r="T64" s="845"/>
      <c r="U64" s="845" t="s">
        <v>2211</v>
      </c>
      <c r="V64" s="845"/>
      <c r="W64" s="845"/>
      <c r="X64" s="845"/>
      <c r="Y64" s="1002"/>
      <c r="Z64" s="848"/>
      <c r="AA64" s="851" t="s">
        <v>2212</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2128</v>
      </c>
      <c r="Q65" s="959"/>
      <c r="R65" s="959"/>
      <c r="S65" s="959"/>
      <c r="T65" s="845"/>
      <c r="U65" s="845" t="s">
        <v>2213</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2132</v>
      </c>
      <c r="Q66" s="959"/>
      <c r="R66" s="959"/>
      <c r="S66" s="959"/>
      <c r="T66" s="845"/>
      <c r="U66" s="845" t="s">
        <v>2214</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2215</v>
      </c>
      <c r="Q67" s="959"/>
      <c r="R67" s="959"/>
      <c r="S67" s="959"/>
      <c r="T67" s="845"/>
      <c r="U67" s="845" t="s">
        <v>2216</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2217</v>
      </c>
      <c r="Q68" s="959"/>
      <c r="R68" s="959"/>
      <c r="S68" s="959"/>
      <c r="T68" s="845"/>
      <c r="U68" s="845" t="s">
        <v>2218</v>
      </c>
      <c r="V68" s="845"/>
      <c r="W68" s="845"/>
      <c r="X68" s="845"/>
      <c r="Y68" s="1002"/>
      <c r="Z68" s="848"/>
      <c r="AA68" s="851"/>
      <c r="AB68" s="848"/>
      <c r="AC68" s="848"/>
      <c r="AD68" s="848"/>
    </row>
    <row customHeight="1" ht="9">
      <c r="A69" s="847"/>
      <c r="B69" s="901">
        <v>52</v>
      </c>
      <c r="C69" s="845"/>
      <c r="D69" s="969" t="s">
        <v>2219</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147</v>
      </c>
      <c r="Q69" s="959"/>
      <c r="R69" s="959"/>
      <c r="S69" s="959"/>
      <c r="T69" s="845"/>
      <c r="U69" s="845" t="s">
        <v>2220</v>
      </c>
      <c r="V69" s="845"/>
      <c r="W69" s="845"/>
      <c r="X69" s="845"/>
      <c r="Y69" s="1002"/>
      <c r="Z69" s="848"/>
      <c r="AA69" s="851"/>
      <c r="AB69" s="848"/>
      <c r="AC69" s="848"/>
      <c r="AD69" s="848"/>
    </row>
    <row customHeight="1" ht="27">
      <c r="A70" s="847"/>
      <c r="B70" s="901">
        <v>53</v>
      </c>
      <c r="C70" s="845"/>
      <c r="D70" s="969"/>
      <c r="E70" s="845" t="s">
        <v>2204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2221</v>
      </c>
      <c r="W70" s="845"/>
      <c r="X70" s="845"/>
      <c r="Y70" s="1002"/>
      <c r="Z70" s="848"/>
      <c r="AA70" s="851"/>
      <c r="AB70" s="848"/>
      <c r="AC70" s="848"/>
      <c r="AD70" s="848"/>
    </row>
    <row customHeight="1" ht="36">
      <c r="A71" s="847"/>
      <c r="B71" s="901">
        <v>54</v>
      </c>
      <c r="C71" s="845"/>
      <c r="D71" s="969"/>
      <c r="E71" s="845" t="s">
        <v>2206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109</v>
      </c>
      <c r="R71" s="959"/>
      <c r="S71" s="959"/>
      <c r="T71" s="845"/>
      <c r="U71" s="845"/>
      <c r="V71" s="845" t="s">
        <v>2222</v>
      </c>
      <c r="W71" s="845"/>
      <c r="X71" s="845"/>
      <c r="Y71" s="1002"/>
      <c r="Z71" s="848"/>
      <c r="AA71" s="851"/>
      <c r="AB71" s="848"/>
      <c r="AC71" s="848"/>
      <c r="AD71" s="848"/>
    </row>
    <row customHeight="1" ht="27">
      <c r="A72" s="847"/>
      <c r="B72" s="901">
        <v>55</v>
      </c>
      <c r="C72" s="845"/>
      <c r="D72" s="969"/>
      <c r="E72" s="845" t="s">
        <v>2208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145</v>
      </c>
      <c r="R72" s="959"/>
      <c r="S72" s="959"/>
      <c r="T72" s="845"/>
      <c r="U72" s="845"/>
      <c r="V72" s="845" t="s">
        <v>2223</v>
      </c>
      <c r="W72" s="845"/>
      <c r="X72" s="845"/>
      <c r="Y72" s="1002"/>
      <c r="Z72" s="848"/>
      <c r="AA72" s="851"/>
      <c r="AB72" s="848"/>
      <c r="AC72" s="848"/>
      <c r="AD72" s="848"/>
    </row>
    <row customHeight="1" ht="36">
      <c r="A73" s="847"/>
      <c r="B73" s="901">
        <v>56</v>
      </c>
      <c r="C73" s="845"/>
      <c r="D73" s="969"/>
      <c r="E73" s="845" t="s">
        <v>2210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146</v>
      </c>
      <c r="R73" s="959"/>
      <c r="S73" s="959"/>
      <c r="T73" s="845"/>
      <c r="U73" s="845"/>
      <c r="V73" s="845" t="s">
        <v>2224</v>
      </c>
      <c r="W73" s="845"/>
      <c r="X73" s="845"/>
      <c r="Y73" s="1002"/>
      <c r="Z73" s="848"/>
      <c r="AA73" s="851"/>
      <c r="AB73" s="848"/>
      <c r="AC73" s="848"/>
      <c r="AD73" s="848"/>
    </row>
    <row customHeight="1" ht="18">
      <c r="A74" s="847"/>
      <c r="B74" s="901">
        <v>57</v>
      </c>
      <c r="C74" s="845"/>
      <c r="D74" s="969"/>
      <c r="E74" s="845" t="s">
        <v>2219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147</v>
      </c>
      <c r="R74" s="959"/>
      <c r="S74" s="959"/>
      <c r="T74" s="845"/>
      <c r="U74" s="845"/>
      <c r="V74" s="845" t="s">
        <v>2225</v>
      </c>
      <c r="W74" s="845"/>
      <c r="X74" s="845"/>
      <c r="Y74" s="1002"/>
      <c r="Z74" s="848"/>
      <c r="AA74" s="851"/>
      <c r="AB74" s="848"/>
      <c r="AC74" s="848"/>
      <c r="AD74" s="848"/>
    </row>
    <row customHeight="1" ht="18">
      <c r="A75" s="847"/>
      <c r="B75" s="901">
        <v>58</v>
      </c>
      <c r="C75" s="845"/>
      <c r="D75" s="969"/>
      <c r="E75" s="845"/>
      <c r="F75" s="845" t="s">
        <v>2204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2226</v>
      </c>
      <c r="X75" s="845"/>
      <c r="Y75" s="1002"/>
      <c r="Z75" s="848"/>
      <c r="AA75" s="851"/>
      <c r="AB75" s="848"/>
      <c r="AC75" s="848"/>
      <c r="AD75" s="848"/>
    </row>
    <row customHeight="1" ht="36">
      <c r="A76" s="847"/>
      <c r="B76" s="901">
        <v>59</v>
      </c>
      <c r="C76" s="845"/>
      <c r="D76" s="969"/>
      <c r="E76" s="845"/>
      <c r="F76" s="845" t="s">
        <v>2206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109</v>
      </c>
      <c r="S76" s="959"/>
      <c r="T76" s="845"/>
      <c r="U76" s="845"/>
      <c r="V76" s="845"/>
      <c r="W76" s="845" t="s">
        <v>2227</v>
      </c>
      <c r="X76" s="845"/>
      <c r="Y76" s="1002"/>
      <c r="Z76" s="848"/>
      <c r="AA76" s="851"/>
      <c r="AB76" s="848"/>
      <c r="AC76" s="848"/>
      <c r="AD76" s="848"/>
    </row>
    <row customHeight="1" ht="18">
      <c r="A77" s="847"/>
      <c r="B77" s="901">
        <v>60</v>
      </c>
      <c r="C77" s="845"/>
      <c r="D77" s="969"/>
      <c r="E77" s="845"/>
      <c r="F77" s="845" t="s">
        <v>2208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145</v>
      </c>
      <c r="S77" s="959"/>
      <c r="T77" s="845"/>
      <c r="U77" s="845"/>
      <c r="V77" s="845"/>
      <c r="W77" s="845" t="s">
        <v>2228</v>
      </c>
      <c r="X77" s="845"/>
      <c r="Y77" s="1002"/>
      <c r="Z77" s="848"/>
      <c r="AA77" s="851"/>
      <c r="AB77" s="848"/>
      <c r="AC77" s="848"/>
      <c r="AD77" s="848"/>
    </row>
    <row customHeight="1" ht="72">
      <c r="A78" s="847"/>
      <c r="B78" s="901">
        <v>61</v>
      </c>
      <c r="C78" s="845" t="s">
        <v>2204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93</v>
      </c>
      <c r="P78" s="959"/>
      <c r="Q78" s="959"/>
      <c r="R78" s="959"/>
      <c r="S78" s="959"/>
      <c r="T78" s="845" t="s">
        <v>627</v>
      </c>
      <c r="U78" s="845"/>
      <c r="V78" s="845"/>
      <c r="W78" s="845"/>
      <c r="X78" s="845"/>
      <c r="Y78" s="1002"/>
      <c r="Z78" s="848" t="s">
        <v>2229</v>
      </c>
      <c r="AA78" s="851"/>
      <c r="AB78" s="848"/>
      <c r="AC78" s="848"/>
      <c r="AD78" s="848"/>
    </row>
    <row customHeight="1" ht="36">
      <c r="A79" s="847"/>
      <c r="B79" s="901">
        <v>62</v>
      </c>
      <c r="C79" s="845" t="s">
        <v>2206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109</v>
      </c>
      <c r="P79" s="959"/>
      <c r="Q79" s="959"/>
      <c r="R79" s="959"/>
      <c r="S79" s="959"/>
      <c r="T79" s="845" t="s">
        <v>2230</v>
      </c>
      <c r="U79" s="845"/>
      <c r="V79" s="845"/>
      <c r="W79" s="845"/>
      <c r="X79" s="845"/>
      <c r="Y79" s="1002"/>
      <c r="Z79" s="848" t="s">
        <v>2231</v>
      </c>
      <c r="AA79" s="851"/>
      <c r="AB79" s="848"/>
      <c r="AC79" s="848"/>
      <c r="AD79" s="848"/>
    </row>
    <row customHeight="1" ht="45">
      <c r="A80" s="847"/>
      <c r="B80" s="901">
        <v>63</v>
      </c>
      <c r="C80" s="845" t="s">
        <v>2208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145</v>
      </c>
      <c r="P80" s="959"/>
      <c r="Q80" s="959"/>
      <c r="R80" s="959"/>
      <c r="S80" s="959"/>
      <c r="T80" s="845" t="s">
        <v>2232</v>
      </c>
      <c r="U80" s="845"/>
      <c r="V80" s="845"/>
      <c r="W80" s="845"/>
      <c r="X80" s="845"/>
      <c r="Y80" s="1002"/>
      <c r="Z80" s="848" t="s">
        <v>2233</v>
      </c>
      <c r="AA80" s="851"/>
      <c r="AB80" s="848"/>
      <c r="AC80" s="848"/>
      <c r="AD80" s="848"/>
    </row>
    <row customHeight="1" ht="36">
      <c r="A81" s="847"/>
      <c r="B81" s="901">
        <v>64</v>
      </c>
      <c r="C81" s="845" t="s">
        <v>2210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2119</v>
      </c>
      <c r="P81" s="959"/>
      <c r="Q81" s="959"/>
      <c r="R81" s="959"/>
      <c r="S81" s="959"/>
      <c r="T81" s="845" t="s">
        <v>2234</v>
      </c>
      <c r="U81" s="845"/>
      <c r="V81" s="845"/>
      <c r="W81" s="845"/>
      <c r="X81" s="845"/>
      <c r="Y81" s="1002"/>
      <c r="Z81" s="848" t="s">
        <v>2235</v>
      </c>
      <c r="AA81" s="851"/>
      <c r="AB81" s="848"/>
      <c r="AC81" s="848"/>
      <c r="AD81" s="848"/>
    </row>
    <row customHeight="1" ht="90">
      <c r="A82" s="847"/>
      <c r="B82" s="901">
        <v>65</v>
      </c>
      <c r="C82" s="845" t="s">
        <v>2219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146</v>
      </c>
      <c r="P82" s="959"/>
      <c r="Q82" s="959"/>
      <c r="R82" s="959"/>
      <c r="S82" s="959"/>
      <c r="T82" s="845" t="s">
        <v>2236</v>
      </c>
      <c r="U82" s="845"/>
      <c r="V82" s="845"/>
      <c r="W82" s="845"/>
      <c r="X82" s="845"/>
      <c r="Y82" s="1002"/>
      <c r="Z82" s="848" t="s">
        <v>2237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2128</v>
      </c>
      <c r="P83" s="959"/>
      <c r="Q83" s="959"/>
      <c r="R83" s="959"/>
      <c r="S83" s="959"/>
      <c r="T83" s="845" t="s">
        <v>2238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2239</v>
      </c>
      <c r="P84" s="959"/>
      <c r="Q84" s="959"/>
      <c r="R84" s="959"/>
      <c r="S84" s="959"/>
      <c r="T84" s="845" t="s">
        <v>2240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2132</v>
      </c>
      <c r="P85" s="959"/>
      <c r="Q85" s="959"/>
      <c r="R85" s="959"/>
      <c r="S85" s="959"/>
      <c r="T85" s="845" t="s">
        <v>2241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2242</v>
      </c>
      <c r="P86" s="959"/>
      <c r="Q86" s="959"/>
      <c r="R86" s="959"/>
      <c r="S86" s="959"/>
      <c r="T86" s="845" t="s">
        <v>2243</v>
      </c>
      <c r="U86" s="845"/>
      <c r="V86" s="845"/>
      <c r="W86" s="845"/>
      <c r="X86" s="845"/>
      <c r="Y86" s="1002"/>
      <c r="Z86" s="848"/>
      <c r="AA86" s="851"/>
      <c r="AB86" s="848"/>
      <c r="AC86" s="848"/>
      <c r="AD86" s="848"/>
    </row>
    <row customHeight="1" ht="36">
      <c r="A87" s="847"/>
      <c r="B87" s="901">
        <v>70</v>
      </c>
      <c r="C87" s="845" t="s">
        <v>2244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147</v>
      </c>
      <c r="P87" s="959"/>
      <c r="Q87" s="959"/>
      <c r="R87" s="959"/>
      <c r="S87" s="959"/>
      <c r="T87" s="845" t="s">
        <v>2245</v>
      </c>
      <c r="U87" s="845"/>
      <c r="V87" s="845"/>
      <c r="W87" s="845"/>
      <c r="X87" s="845"/>
      <c r="Y87" s="1002"/>
      <c r="Z87" s="848"/>
      <c r="AA87" s="851"/>
      <c r="AB87" s="848"/>
      <c r="AC87" s="848"/>
      <c r="AD87" s="848"/>
    </row>
    <row customHeight="1" ht="18">
      <c r="A88" s="847"/>
      <c r="B88" s="901">
        <v>71</v>
      </c>
      <c r="C88" s="845" t="s">
        <v>2246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148</v>
      </c>
      <c r="P88" s="959"/>
      <c r="Q88" s="959"/>
      <c r="R88" s="959"/>
      <c r="S88" s="959"/>
      <c r="T88" s="845" t="s">
        <v>659</v>
      </c>
      <c r="U88" s="845"/>
      <c r="V88" s="845"/>
      <c r="W88" s="845"/>
      <c r="X88" s="845"/>
      <c r="Y88" s="1002"/>
      <c r="Z88" s="848"/>
      <c r="AA88" s="851"/>
      <c r="AB88" s="848"/>
      <c r="AC88" s="848"/>
      <c r="AD88" s="848"/>
    </row>
    <row customHeight="1" ht="18">
      <c r="A89" s="847"/>
      <c r="B89" s="901">
        <v>72</v>
      </c>
      <c r="C89" s="845" t="s">
        <v>2247</v>
      </c>
      <c r="D89" s="969" t="s">
        <v>2244</v>
      </c>
      <c r="E89" s="845" t="s">
        <v>2244</v>
      </c>
      <c r="F89" s="845" t="s">
        <v>2210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149</v>
      </c>
      <c r="P89" s="959" t="s">
        <v>148</v>
      </c>
      <c r="Q89" s="959" t="s">
        <v>148</v>
      </c>
      <c r="R89" s="959" t="s">
        <v>146</v>
      </c>
      <c r="S89" s="959"/>
      <c r="T89" s="845" t="s">
        <v>667</v>
      </c>
      <c r="U89" s="845" t="s">
        <v>667</v>
      </c>
      <c r="V89" s="845" t="s">
        <v>667</v>
      </c>
      <c r="W89" s="845" t="s">
        <v>667</v>
      </c>
      <c r="X89" s="845"/>
      <c r="Y89" s="1002"/>
      <c r="Z89" s="848"/>
      <c r="AA89" s="851"/>
      <c r="AB89" s="848"/>
      <c r="AC89" s="848"/>
      <c r="AD89" s="848"/>
    </row>
    <row customHeight="1" ht="27">
      <c r="A90" s="847"/>
      <c r="B90" s="901">
        <v>73</v>
      </c>
      <c r="C90" s="845" t="s">
        <v>2248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150</v>
      </c>
      <c r="P90" s="959"/>
      <c r="Q90" s="959"/>
      <c r="R90" s="959"/>
      <c r="S90" s="959"/>
      <c r="T90" s="845" t="s">
        <v>669</v>
      </c>
      <c r="U90" s="845"/>
      <c r="V90" s="845"/>
      <c r="W90" s="845"/>
      <c r="X90" s="845"/>
      <c r="Y90" s="1002"/>
      <c r="Z90" s="848"/>
      <c r="AA90" s="851"/>
      <c r="AB90" s="848"/>
      <c r="AC90" s="848"/>
      <c r="AD90" s="848"/>
    </row>
    <row customHeight="1" ht="18">
      <c r="A91" s="847"/>
      <c r="B91" s="901">
        <v>74</v>
      </c>
      <c r="C91" s="845"/>
      <c r="D91" s="969" t="s">
        <v>2246</v>
      </c>
      <c r="E91" s="845" t="s">
        <v>2246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149</v>
      </c>
      <c r="Q91" s="959" t="s">
        <v>149</v>
      </c>
      <c r="R91" s="959"/>
      <c r="S91" s="959"/>
      <c r="T91" s="845"/>
      <c r="U91" s="845" t="s">
        <v>2249</v>
      </c>
      <c r="V91" s="845" t="s">
        <v>2249</v>
      </c>
      <c r="W91" s="845"/>
      <c r="X91" s="845"/>
      <c r="Y91" s="1002"/>
      <c r="Z91" s="848"/>
      <c r="AA91" s="851"/>
      <c r="AB91" s="848"/>
      <c r="AC91" s="848"/>
      <c r="AD91" s="848"/>
    </row>
    <row customHeight="1" ht="27">
      <c r="A92" s="847"/>
      <c r="B92" s="901">
        <v>75</v>
      </c>
      <c r="C92" s="845"/>
      <c r="D92" s="969" t="s">
        <v>2247</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150</v>
      </c>
      <c r="Q92" s="959"/>
      <c r="R92" s="959"/>
      <c r="S92" s="959"/>
      <c r="T92" s="845"/>
      <c r="U92" s="845" t="s">
        <v>2250</v>
      </c>
      <c r="V92" s="845"/>
      <c r="W92" s="845"/>
      <c r="X92" s="845"/>
      <c r="Y92" s="1002"/>
      <c r="Z92" s="848"/>
      <c r="AA92" s="851" t="s">
        <v>2251</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2159</v>
      </c>
      <c r="Q93" s="959"/>
      <c r="R93" s="959"/>
      <c r="S93" s="959"/>
      <c r="T93" s="845"/>
      <c r="U93" s="845" t="s">
        <v>2252</v>
      </c>
      <c r="V93" s="845"/>
      <c r="W93" s="845"/>
      <c r="X93" s="845"/>
      <c r="Y93" s="1002"/>
      <c r="Z93" s="848"/>
      <c r="AA93" s="851" t="s">
        <v>2253</v>
      </c>
      <c r="AB93" s="848"/>
      <c r="AC93" s="848"/>
      <c r="AD93" s="848"/>
    </row>
    <row customHeight="1" ht="45">
      <c r="A94" s="847"/>
      <c r="B94" s="901">
        <v>77</v>
      </c>
      <c r="C94" s="845"/>
      <c r="D94" s="969" t="s">
        <v>2248</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1519</v>
      </c>
      <c r="Q94" s="959"/>
      <c r="R94" s="959"/>
      <c r="S94" s="959"/>
      <c r="T94" s="845"/>
      <c r="U94" s="845" t="s">
        <v>2254</v>
      </c>
      <c r="V94" s="845"/>
      <c r="W94" s="845"/>
      <c r="X94" s="845"/>
      <c r="Y94" s="1002"/>
      <c r="Z94" s="848"/>
      <c r="AA94" s="851" t="s">
        <v>2255</v>
      </c>
      <c r="AB94" s="848"/>
      <c r="AC94" s="848"/>
      <c r="AD94" s="848"/>
    </row>
    <row customHeight="1" ht="99">
      <c r="A95" s="847"/>
      <c r="B95" s="901">
        <v>78</v>
      </c>
      <c r="C95" s="845" t="s">
        <v>2256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1519</v>
      </c>
      <c r="P95" s="959"/>
      <c r="Q95" s="959"/>
      <c r="R95" s="959"/>
      <c r="S95" s="959"/>
      <c r="T95" s="845" t="s">
        <v>2257</v>
      </c>
      <c r="U95" s="845"/>
      <c r="V95" s="845"/>
      <c r="W95" s="845"/>
      <c r="X95" s="845"/>
      <c r="Y95" s="1002"/>
      <c r="Z95" s="848"/>
      <c r="AA95" s="851"/>
      <c r="AB95" s="848"/>
      <c r="AC95" s="848"/>
      <c r="AD95" s="848"/>
    </row>
    <row customHeight="1" ht="99">
      <c r="A96" s="847"/>
      <c r="B96" s="901">
        <v>79</v>
      </c>
      <c r="C96" s="845" t="s">
        <v>1202</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1525</v>
      </c>
      <c r="P96" s="959"/>
      <c r="Q96" s="959"/>
      <c r="R96" s="959"/>
      <c r="S96" s="959"/>
      <c r="T96" s="845" t="s">
        <v>2258</v>
      </c>
      <c r="U96" s="845"/>
      <c r="V96" s="845"/>
      <c r="W96" s="845"/>
      <c r="X96" s="845"/>
      <c r="Y96" s="1002"/>
      <c r="Z96" s="848" t="s">
        <v>2259</v>
      </c>
      <c r="AA96" s="851"/>
      <c r="AB96" s="848"/>
      <c r="AC96" s="848"/>
      <c r="AD96" s="848"/>
    </row>
    <row customHeight="1" ht="63">
      <c r="A97" s="847"/>
      <c r="B97" s="901">
        <v>80</v>
      </c>
      <c r="C97" s="845" t="s">
        <v>2260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1537</v>
      </c>
      <c r="P97" s="959"/>
      <c r="Q97" s="959"/>
      <c r="R97" s="959"/>
      <c r="S97" s="959"/>
      <c r="T97" s="845" t="s">
        <v>2261</v>
      </c>
      <c r="U97" s="845"/>
      <c r="V97" s="845"/>
      <c r="W97" s="845"/>
      <c r="X97" s="845"/>
      <c r="Y97" s="1002"/>
      <c r="Z97" s="848" t="s">
        <v>2262</v>
      </c>
      <c r="AA97" s="851"/>
      <c r="AB97" s="848"/>
      <c r="AC97" s="848"/>
      <c r="AD97" s="848"/>
    </row>
    <row customHeight="1" ht="63">
      <c r="A98" s="847"/>
      <c r="B98" s="901">
        <v>81</v>
      </c>
      <c r="C98" s="845" t="s">
        <v>2263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1551</v>
      </c>
      <c r="P98" s="959"/>
      <c r="Q98" s="959"/>
      <c r="R98" s="959"/>
      <c r="S98" s="959"/>
      <c r="T98" s="845" t="s">
        <v>2264</v>
      </c>
      <c r="U98" s="845"/>
      <c r="V98" s="845"/>
      <c r="W98" s="845"/>
      <c r="X98" s="845"/>
      <c r="Y98" s="1002"/>
      <c r="Z98" s="848" t="s">
        <v>2262</v>
      </c>
      <c r="AA98" s="851"/>
      <c r="AB98" s="848"/>
      <c r="AC98" s="848"/>
      <c r="AD98" s="848"/>
    </row>
    <row customHeight="1" ht="90">
      <c r="A99" s="847"/>
      <c r="B99" s="901">
        <v>82</v>
      </c>
      <c r="C99" s="845" t="s">
        <v>2265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1563</v>
      </c>
      <c r="P99" s="959"/>
      <c r="Q99" s="959"/>
      <c r="R99" s="959"/>
      <c r="S99" s="959"/>
      <c r="T99" s="845" t="s">
        <v>2266</v>
      </c>
      <c r="U99" s="845"/>
      <c r="V99" s="845"/>
      <c r="W99" s="845"/>
      <c r="X99" s="845"/>
      <c r="Y99" s="1002"/>
      <c r="Z99" s="848" t="s">
        <v>624</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2267</v>
      </c>
      <c r="P100" s="959"/>
      <c r="Q100" s="959"/>
      <c r="R100" s="959"/>
      <c r="S100" s="959"/>
      <c r="T100" s="845" t="s">
        <v>2268</v>
      </c>
      <c r="U100" s="845"/>
      <c r="V100" s="845"/>
      <c r="W100" s="845"/>
      <c r="X100" s="845"/>
      <c r="Y100" s="1002"/>
      <c r="Z100" s="848" t="s">
        <v>624</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2269</v>
      </c>
      <c r="P101" s="959"/>
      <c r="Q101" s="959"/>
      <c r="R101" s="959"/>
      <c r="S101" s="959"/>
      <c r="T101" s="845" t="s">
        <v>2270</v>
      </c>
      <c r="U101" s="845"/>
      <c r="V101" s="845"/>
      <c r="W101" s="845"/>
      <c r="X101" s="845"/>
      <c r="Y101" s="1002"/>
      <c r="Z101" s="848" t="s">
        <v>624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1716</v>
      </c>
      <c r="B148" s="847"/>
      <c r="C148" s="845" t="s">
        <v>2271</v>
      </c>
      <c r="D148" s="845" t="s">
        <v>1618</v>
      </c>
      <c r="E148" s="845" t="s">
        <v>1718</v>
      </c>
      <c r="F148" s="845" t="s">
        <v>2272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2273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2274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1720</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1723</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1728</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80068-35E8-0AEE-4288-FC55582110C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7" width="12.28125" hidden="1" customWidth="1"/>
    <col min="9" max="9" style="2420" width="3.00390625" customWidth="1"/>
    <col min="10" max="11" style="346" width="3.00390625" customWidth="1"/>
    <col min="12" max="12" style="2433"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30" t="s">
        <v>2275</v>
      </c>
      <c r="M5" s="2630"/>
      <c r="N5" s="2630"/>
      <c r="O5" s="2630"/>
      <c r="P5" s="2630"/>
      <c r="Q5" s="2630"/>
      <c r="R5" s="2630"/>
      <c r="S5" s="2630"/>
      <c r="T5" s="2630"/>
      <c r="U5" s="2630"/>
      <c r="V5" s="1245"/>
      <c r="AD5" s="1157">
        <v>64</v>
      </c>
    </row>
    <row customHeight="1" ht="14.699999999999998">
      <c r="J6" s="378"/>
      <c r="K6" s="378"/>
      <c r="L6" s="2631" t="str">
        <f>IF(org=0,"Не определено",org)</f>
        <v>Муниципальное унитарное предприятие "Невельские коммунальные сети"</v>
      </c>
      <c r="M6" s="2631"/>
      <c r="N6" s="2631"/>
      <c r="O6" s="2631"/>
      <c r="P6" s="2631"/>
      <c r="Q6" s="2631"/>
      <c r="R6" s="2631"/>
      <c r="S6" s="2631"/>
      <c r="T6" s="2631"/>
      <c r="U6" s="2631"/>
      <c r="V6" s="1245"/>
      <c r="AD6" s="1157">
        <v>14</v>
      </c>
    </row>
    <row customHeight="1" ht="14.699999999999998">
      <c r="J7" s="378"/>
      <c r="K7" s="378"/>
      <c r="L7" s="1277"/>
      <c r="M7" s="365"/>
      <c r="N7" s="365"/>
      <c r="O7" s="324"/>
      <c r="P7" s="324"/>
      <c r="Q7" s="324"/>
      <c r="R7" s="324"/>
      <c r="S7" s="324"/>
      <c r="T7" s="324"/>
      <c r="U7" s="324"/>
      <c r="V7" s="324"/>
      <c r="W7" s="511"/>
      <c r="AD7" s="1157">
        <v>14</v>
      </c>
    </row>
    <row s="1852" customFormat="1" customHeight="1" ht="48.29999999999999">
      <c r="A8" s="1370"/>
      <c r="B8" s="1370"/>
      <c r="C8" s="1370"/>
      <c r="D8" s="1370"/>
      <c r="E8" s="1370"/>
      <c r="F8" s="1370"/>
      <c r="G8" s="1370"/>
      <c r="H8" s="1370"/>
      <c r="L8" s="1278"/>
      <c r="M8" s="297" t="s">
        <v>42</v>
      </c>
      <c r="N8" s="306"/>
      <c r="O8" s="2270" t="str">
        <f>IF(TITLE_NAME_OR_PR_CHANGE="",IF(TITLE_NAME_OR_PR="","",TITLE_NAME_OR_PR),TITLE_NAME_OR_PR_CHANGE)</f>
        <v/>
      </c>
      <c r="P8" s="2270"/>
      <c r="Q8" s="2270"/>
      <c r="R8" s="2270"/>
      <c r="S8" s="2270"/>
      <c r="T8" s="2270"/>
      <c r="U8" s="2270"/>
      <c r="V8" s="328"/>
      <c r="W8" s="328"/>
      <c r="X8" s="282"/>
      <c r="Y8" s="370"/>
      <c r="Z8" s="370"/>
      <c r="AA8" s="370"/>
      <c r="AB8" s="370"/>
      <c r="AC8" s="370"/>
      <c r="AD8" s="420">
        <v>46</v>
      </c>
    </row>
    <row s="1852" customFormat="1" customHeight="1" ht="24">
      <c r="A9" s="1370"/>
      <c r="B9" s="1370"/>
      <c r="C9" s="1370"/>
      <c r="D9" s="1370"/>
      <c r="E9" s="1370"/>
      <c r="F9" s="1370"/>
      <c r="G9" s="1370"/>
      <c r="H9" s="1370"/>
      <c r="L9" s="1278"/>
      <c r="M9" s="297" t="s">
        <v>498</v>
      </c>
      <c r="N9" s="306"/>
      <c r="O9" s="2270" t="str">
        <f>IF(TITLE_DATE_CHANGE_PERIOD="",IF(TITLE_DATE_PR="","",TITLE_DATE_PR),TITLE_DATE_CHANGE_PERIOD)</f>
        <v/>
      </c>
      <c r="P9" s="2270"/>
      <c r="Q9" s="2270"/>
      <c r="R9" s="2270"/>
      <c r="S9" s="2270"/>
      <c r="T9" s="2270"/>
      <c r="U9" s="2270"/>
      <c r="V9" s="328"/>
      <c r="W9" s="328"/>
      <c r="X9" s="282"/>
      <c r="Y9" s="370"/>
      <c r="Z9" s="370"/>
      <c r="AA9" s="370"/>
      <c r="AB9" s="370"/>
      <c r="AC9" s="370"/>
      <c r="AD9" s="420">
        <v>23</v>
      </c>
    </row>
    <row s="1852" customFormat="1" customHeight="1" ht="24">
      <c r="A10" s="1370"/>
      <c r="B10" s="1370"/>
      <c r="C10" s="1370"/>
      <c r="D10" s="1370"/>
      <c r="E10" s="1370"/>
      <c r="F10" s="1370"/>
      <c r="G10" s="1370"/>
      <c r="H10" s="1370"/>
      <c r="L10" s="1252"/>
      <c r="M10" s="297" t="s">
        <v>499</v>
      </c>
      <c r="N10" s="306"/>
      <c r="O10" s="2270" t="str">
        <f>IF(TITLE_NUMBER_PR_CHANGE="",IF(TITLE_NUMBER_PR="","",TITLE_NUMBER_PR),TITLE_NUMBER_PR_CHANGE)</f>
        <v/>
      </c>
      <c r="P10" s="2270"/>
      <c r="Q10" s="2270"/>
      <c r="R10" s="2270"/>
      <c r="S10" s="2270"/>
      <c r="T10" s="2270"/>
      <c r="U10" s="2270"/>
      <c r="V10" s="328"/>
      <c r="W10" s="328"/>
      <c r="X10" s="282"/>
      <c r="Y10" s="370"/>
      <c r="Z10" s="370"/>
      <c r="AA10" s="370"/>
      <c r="AB10" s="370"/>
      <c r="AC10" s="370"/>
      <c r="AD10" s="420">
        <v>23</v>
      </c>
    </row>
    <row s="1852" customFormat="1" customHeight="1" ht="24">
      <c r="A11" s="1370"/>
      <c r="B11" s="1370"/>
      <c r="C11" s="1370"/>
      <c r="D11" s="1370"/>
      <c r="E11" s="1370"/>
      <c r="F11" s="1370"/>
      <c r="G11" s="1370"/>
      <c r="H11" s="1370"/>
      <c r="L11" s="1252"/>
      <c r="M11" s="297" t="s">
        <v>43</v>
      </c>
      <c r="N11" s="306"/>
      <c r="O11" s="2270" t="str">
        <f>IF(TITLE_IST_PUB_CHANGE="",IF(TITLE_IST_PUB="","",TITLE_IST_PUB),TITLE_IST_PUB_CHANGE)</f>
        <v/>
      </c>
      <c r="P11" s="2270"/>
      <c r="Q11" s="2270"/>
      <c r="R11" s="2270"/>
      <c r="S11" s="2270"/>
      <c r="T11" s="2270"/>
      <c r="U11" s="2270"/>
      <c r="V11" s="328"/>
      <c r="W11" s="328"/>
      <c r="X11" s="282"/>
      <c r="Y11" s="370"/>
      <c r="Z11" s="370"/>
      <c r="AA11" s="370"/>
      <c r="AB11" s="370"/>
      <c r="AC11" s="370"/>
      <c r="AD11" s="420">
        <v>23</v>
      </c>
    </row>
    <row s="1852" customFormat="1" customHeight="1" ht="11.25" hidden="1">
      <c r="A12" s="1370"/>
      <c r="B12" s="1370"/>
      <c r="C12" s="1370"/>
      <c r="D12" s="1370"/>
      <c r="E12" s="1370"/>
      <c r="F12" s="1370"/>
      <c r="G12" s="1370"/>
      <c r="H12" s="1370"/>
      <c r="L12" s="2629"/>
      <c r="M12" s="2629"/>
      <c r="N12" s="1289"/>
      <c r="O12" s="328"/>
      <c r="P12" s="328"/>
      <c r="Q12" s="328"/>
      <c r="R12" s="328"/>
      <c r="S12" s="328"/>
      <c r="T12" s="328"/>
      <c r="U12" s="328"/>
      <c r="V12" s="280" t="s">
        <v>418</v>
      </c>
      <c r="Y12" s="370"/>
      <c r="Z12" s="370"/>
      <c r="AA12" s="370"/>
      <c r="AB12" s="370"/>
      <c r="AC12" s="370"/>
      <c r="AD12" s="420">
        <v>0</v>
      </c>
    </row>
    <row customHeight="1" ht="14.699999999999998">
      <c r="J13" s="378"/>
      <c r="K13" s="378"/>
      <c r="L13" s="1277"/>
      <c r="M13" s="365"/>
      <c r="N13" s="1246"/>
      <c r="O13" s="2294"/>
      <c r="P13" s="2294"/>
      <c r="Q13" s="2294"/>
      <c r="R13" s="2294"/>
      <c r="S13" s="2294"/>
      <c r="T13" s="2294"/>
      <c r="U13" s="2294"/>
      <c r="V13" s="2294"/>
      <c r="AD13" s="1157">
        <v>14</v>
      </c>
    </row>
    <row customHeight="1" ht="14.699999999999998">
      <c r="J14" s="378"/>
      <c r="K14" s="378"/>
      <c r="L14" s="2140" t="s">
        <v>295</v>
      </c>
      <c r="M14" s="2140"/>
      <c r="N14" s="2140"/>
      <c r="O14" s="2140"/>
      <c r="P14" s="2140"/>
      <c r="Q14" s="2140"/>
      <c r="R14" s="2140"/>
      <c r="S14" s="2140"/>
      <c r="T14" s="2140"/>
      <c r="U14" s="2140"/>
      <c r="V14" s="2140"/>
      <c r="W14" s="2140"/>
      <c r="X14" s="2140" t="s">
        <v>296</v>
      </c>
      <c r="AD14" s="1157">
        <v>14</v>
      </c>
    </row>
    <row customHeight="1" ht="14.699999999999998">
      <c r="J15" s="378"/>
      <c r="K15" s="378"/>
      <c r="L15" s="2295" t="s">
        <v>88</v>
      </c>
      <c r="M15" s="2232" t="s">
        <v>419</v>
      </c>
      <c r="N15" s="303"/>
      <c r="O15" s="2296" t="s">
        <v>2276</v>
      </c>
      <c r="P15" s="2297"/>
      <c r="Q15" s="2297"/>
      <c r="R15" s="2297"/>
      <c r="S15" s="2297"/>
      <c r="T15" s="2297"/>
      <c r="U15" s="2298"/>
      <c r="V15" s="2299" t="s">
        <v>421</v>
      </c>
      <c r="W15" s="2302" t="s">
        <v>1199</v>
      </c>
      <c r="X15" s="2140"/>
      <c r="AD15" s="1157">
        <v>14</v>
      </c>
    </row>
    <row customHeight="1" ht="35.699999999999996">
      <c r="J16" s="378"/>
      <c r="K16" s="378"/>
      <c r="L16" s="2295"/>
      <c r="M16" s="2232"/>
      <c r="N16" s="1033"/>
      <c r="O16" s="2305" t="s">
        <v>424</v>
      </c>
      <c r="P16" s="2305" t="s">
        <v>425</v>
      </c>
      <c r="Q16" s="2288" t="s">
        <v>426</v>
      </c>
      <c r="R16" s="2290"/>
      <c r="S16" s="2288" t="s">
        <v>440</v>
      </c>
      <c r="T16" s="2289"/>
      <c r="U16" s="2290"/>
      <c r="V16" s="2300"/>
      <c r="W16" s="2303"/>
      <c r="X16" s="2140"/>
      <c r="AD16" s="1157">
        <v>34</v>
      </c>
    </row>
    <row customHeight="1" ht="35.699999999999996">
      <c r="A17" s="1372" t="s">
        <v>131</v>
      </c>
      <c r="B17" s="1372" t="s">
        <v>132</v>
      </c>
      <c r="C17" s="1372" t="s">
        <v>133</v>
      </c>
      <c r="D17" s="1372" t="s">
        <v>134</v>
      </c>
      <c r="E17" s="1372"/>
      <c r="J17" s="378"/>
      <c r="K17" s="378"/>
      <c r="L17" s="2295"/>
      <c r="M17" s="2232"/>
      <c r="N17" s="304"/>
      <c r="O17" s="2306"/>
      <c r="P17" s="2306"/>
      <c r="Q17" s="1224" t="s">
        <v>435</v>
      </c>
      <c r="R17" s="1224" t="s">
        <v>436</v>
      </c>
      <c r="S17" s="1294" t="s">
        <v>437</v>
      </c>
      <c r="T17" s="2291" t="s">
        <v>438</v>
      </c>
      <c r="U17" s="2292"/>
      <c r="V17" s="2301"/>
      <c r="W17" s="2304"/>
      <c r="X17" s="2140"/>
      <c r="AD17" s="1157">
        <v>34</v>
      </c>
    </row>
    <row s="1643" customFormat="1" customHeight="1" ht="11.549999999999999">
      <c r="A18" s="1372"/>
      <c r="B18" s="1372"/>
      <c r="C18" s="1372"/>
      <c r="D18" s="1372"/>
      <c r="E18" s="1372"/>
      <c r="F18" s="1364"/>
      <c r="G18" s="1364"/>
      <c r="H18" s="1364"/>
      <c r="I18" s="1248"/>
      <c r="J18" s="1249"/>
      <c r="K18" s="1256">
        <v>1</v>
      </c>
      <c r="L18" s="1279" t="s">
        <v>106</v>
      </c>
      <c r="M18" s="1257" t="s">
        <v>107</v>
      </c>
      <c r="N18" s="1247" t="str">
        <f>OFFSET(N18,0,-1)</f>
        <v>2</v>
      </c>
      <c r="O18" s="1291">
        <f>OFFSET(O18,0,-1)+1</f>
        <v>3</v>
      </c>
      <c r="P18" s="1291"/>
      <c r="Q18" s="1291">
        <f>OFFSET(Q18,0,-1)+1</f>
        <v>1</v>
      </c>
      <c r="R18" s="1291">
        <f>OFFSET(R18,0,-1)+1</f>
        <v>2</v>
      </c>
      <c r="S18" s="1291">
        <f>OFFSET(S18,0,-1)+1</f>
        <v>3</v>
      </c>
      <c r="T18" s="2293">
        <f>OFFSET(T18,0,-1)+1</f>
        <v>4</v>
      </c>
      <c r="U18" s="2293"/>
      <c r="V18" s="1291">
        <f>OFFSET(V18,0,-2)+1</f>
        <v>5</v>
      </c>
      <c r="W18" s="1247">
        <f>OFFSET(W18,0,-1)</f>
        <v>5</v>
      </c>
      <c r="X18" s="1291">
        <f>OFFSET(X18,0,-1)+1</f>
        <v>6</v>
      </c>
      <c r="Y18" s="513"/>
      <c r="Z18" s="513"/>
      <c r="AA18" s="513"/>
      <c r="AB18" s="513"/>
      <c r="AC18" s="513"/>
      <c r="AD18" s="498">
        <v>11</v>
      </c>
    </row>
    <row customHeight="1" ht="21">
      <c r="A19" s="1365" t="s">
        <v>165</v>
      </c>
      <c r="B19" s="1365" t="s">
        <v>166</v>
      </c>
      <c r="C19" s="1365" t="s">
        <v>167</v>
      </c>
      <c r="D19" s="1365" t="s">
        <v>168</v>
      </c>
      <c r="E19" s="1365"/>
      <c r="F19" s="1367"/>
      <c r="G19" s="1367"/>
      <c r="H19" s="1367"/>
      <c r="I19" s="363"/>
      <c r="J19" s="362"/>
      <c r="K19" s="357"/>
      <c r="L19" s="1295">
        <f>INDEX(PT_DIFFERENTIATION_NUM_NTAR,MATCH(A19,PT_DIFFERENTIATION_NTAR_ID,0))</f>
        <v>0</v>
      </c>
      <c r="M19" s="300" t="s">
        <v>120</v>
      </c>
      <c r="N19" s="302"/>
      <c r="O19" s="2627" t="str">
        <f>INDEX(PT_DIFFERENTIATION_NTAR,MATCH(A19,PT_DIFFERENTIATION_NTAR_ID,0))</f>
        <v/>
      </c>
      <c r="P19" s="2627"/>
      <c r="Q19" s="2627"/>
      <c r="R19" s="2627"/>
      <c r="S19" s="2627"/>
      <c r="T19" s="2627"/>
      <c r="U19" s="2627"/>
      <c r="V19" s="2627"/>
      <c r="W19" s="2627"/>
      <c r="X19" s="1260" t="s">
        <v>391</v>
      </c>
      <c r="Z19" s="502"/>
      <c r="AA19" s="502" t="str">
        <f>IF(M19="","",M19)</f>
        <v>Наименование тарифа</v>
      </c>
      <c r="AB19" s="502"/>
      <c r="AC19" s="502"/>
      <c r="AD19" s="1157">
        <v>20</v>
      </c>
    </row>
    <row customHeight="1" ht="21">
      <c r="A20" s="1365" t="s">
        <v>165</v>
      </c>
      <c r="B20" s="1365" t="s">
        <v>166</v>
      </c>
      <c r="C20" s="1365" t="s">
        <v>167</v>
      </c>
      <c r="D20" s="1365" t="s">
        <v>168</v>
      </c>
      <c r="E20" s="1365"/>
      <c r="F20" s="1367"/>
      <c r="G20" s="1367"/>
      <c r="H20" s="1367"/>
      <c r="I20" s="1292"/>
      <c r="J20" s="354"/>
      <c r="K20" s="355"/>
      <c r="L20" s="1295" t="str">
        <f>INDEX(PT_DIFFERENTIATION_NUM_TER,MATCH(B19,PT_DIFFERENTIATION_TER_ID,0))</f>
        <v>.</v>
      </c>
      <c r="M20" s="310" t="s">
        <v>392</v>
      </c>
      <c r="N20" s="302"/>
      <c r="O20" s="2627" t="str">
        <f>INDEX(PT_DIFFERENTIATION_TER,MATCH(B19,PT_DIFFERENTIATION_TER_ID,0))</f>
        <v/>
      </c>
      <c r="P20" s="2627"/>
      <c r="Q20" s="2627"/>
      <c r="R20" s="2627"/>
      <c r="S20" s="2627"/>
      <c r="T20" s="2627"/>
      <c r="U20" s="2627"/>
      <c r="V20" s="2627"/>
      <c r="W20" s="2627"/>
      <c r="X20" s="1260" t="s">
        <v>393</v>
      </c>
      <c r="Z20" s="502"/>
      <c r="AA20" s="502" t="str">
        <f>IF(M20="","",M20)</f>
        <v>Территория действия тарифа</v>
      </c>
      <c r="AB20" s="502"/>
      <c r="AC20" s="502"/>
      <c r="AD20" s="1157">
        <v>20</v>
      </c>
    </row>
    <row customHeight="1" ht="24">
      <c r="A21" s="1365" t="s">
        <v>165</v>
      </c>
      <c r="B21" s="1365" t="s">
        <v>166</v>
      </c>
      <c r="C21" s="1365" t="s">
        <v>167</v>
      </c>
      <c r="D21" s="1365" t="s">
        <v>168</v>
      </c>
      <c r="E21" s="1365"/>
      <c r="F21" s="1367"/>
      <c r="G21" s="1367"/>
      <c r="H21" s="1367"/>
      <c r="I21" s="356"/>
      <c r="J21" s="354"/>
      <c r="K21" s="355"/>
      <c r="L21" s="1295" t="str">
        <f>INDEX(PT_DIFFERENTIATION_NUM_CS,MATCH(C19,PT_DIFFERENTIATION_CS_ID,0))</f>
        <v>..</v>
      </c>
      <c r="M21" s="311" t="s">
        <v>394</v>
      </c>
      <c r="N21" s="302"/>
      <c r="O21" s="2627" t="str">
        <f>INDEX(PT_DIFFERENTIATION_CS,MATCH(C19,PT_DIFFERENTIATION_CS_ID,0))</f>
        <v/>
      </c>
      <c r="P21" s="2627"/>
      <c r="Q21" s="2627"/>
      <c r="R21" s="2627"/>
      <c r="S21" s="2627"/>
      <c r="T21" s="2627"/>
      <c r="U21" s="2627"/>
      <c r="V21" s="2627"/>
      <c r="W21" s="2627"/>
      <c r="X21" s="1260" t="s">
        <v>395</v>
      </c>
      <c r="Z21" s="502"/>
      <c r="AA21" s="502" t="str">
        <f>IF(M21="","",M21)</f>
        <v>Наименование системы теплоснабжения </v>
      </c>
      <c r="AB21" s="502"/>
      <c r="AC21" s="502"/>
      <c r="AD21" s="1157">
        <v>23</v>
      </c>
    </row>
    <row customHeight="1" ht="21">
      <c r="A22" s="1365" t="s">
        <v>165</v>
      </c>
      <c r="B22" s="1365" t="s">
        <v>166</v>
      </c>
      <c r="C22" s="1365" t="s">
        <v>167</v>
      </c>
      <c r="D22" s="1365" t="s">
        <v>168</v>
      </c>
      <c r="E22" s="1365"/>
      <c r="F22" s="1367"/>
      <c r="G22" s="1367"/>
      <c r="H22" s="1367"/>
      <c r="I22" s="356"/>
      <c r="J22" s="354"/>
      <c r="K22" s="355"/>
      <c r="L22" s="1295" t="str">
        <f>INDEX(PT_DIFFERENTIATION_NUM_IST_TE,MATCH(D19,PT_DIFFERENTIATION_IST_TE_ID,0))</f>
        <v>...</v>
      </c>
      <c r="M22" s="312" t="s">
        <v>396</v>
      </c>
      <c r="N22" s="302"/>
      <c r="O22" s="2627" t="str">
        <f>INDEX(PT_DIFFERENTIATION_IST_TE,MATCH(D19,PT_DIFFERENTIATION_IST_TE_ID,0))</f>
        <v/>
      </c>
      <c r="P22" s="2627"/>
      <c r="Q22" s="2627"/>
      <c r="R22" s="2627"/>
      <c r="S22" s="2627"/>
      <c r="T22" s="2627"/>
      <c r="U22" s="2627"/>
      <c r="V22" s="2627"/>
      <c r="W22" s="2627"/>
      <c r="X22" s="1260" t="s">
        <v>397</v>
      </c>
      <c r="Z22" s="502"/>
      <c r="AA22" s="502" t="str">
        <f>IF(M22="","",M22)</f>
        <v>Источник тепловой энергии  </v>
      </c>
      <c r="AB22" s="502"/>
      <c r="AC22" s="502"/>
      <c r="AD22" s="1157">
        <v>20</v>
      </c>
    </row>
    <row customHeight="1" ht="96.75">
      <c r="A23" s="1365" t="s">
        <v>165</v>
      </c>
      <c r="B23" s="1365" t="s">
        <v>166</v>
      </c>
      <c r="C23" s="1365" t="s">
        <v>167</v>
      </c>
      <c r="D23" s="1365" t="s">
        <v>168</v>
      </c>
      <c r="E23" s="1365"/>
      <c r="F23" s="2628" t="str">
        <f>L22&amp;".1"</f>
        <v>....1</v>
      </c>
      <c r="I23" s="2281">
        <v>1</v>
      </c>
      <c r="J23" s="1293"/>
      <c r="K23" s="358"/>
      <c r="L23" s="1295" t="str">
        <f>$F$23</f>
        <v>....1</v>
      </c>
      <c r="M23" s="287" t="s">
        <v>399</v>
      </c>
      <c r="N23" s="302"/>
      <c r="O23" s="2324"/>
      <c r="P23" s="2324"/>
      <c r="Q23" s="2324"/>
      <c r="R23" s="2324"/>
      <c r="S23" s="2324"/>
      <c r="T23" s="2324"/>
      <c r="U23" s="2324"/>
      <c r="V23" s="2324"/>
      <c r="W23" s="2324"/>
      <c r="X23" s="1260" t="s">
        <v>400</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165</v>
      </c>
      <c r="B24" s="1365" t="s">
        <v>166</v>
      </c>
      <c r="C24" s="1365" t="s">
        <v>167</v>
      </c>
      <c r="D24" s="1365" t="s">
        <v>168</v>
      </c>
      <c r="E24" s="1365"/>
      <c r="F24" s="2628"/>
      <c r="G24" s="2252" t="str">
        <f>F23&amp;".1"</f>
        <v>....1.1</v>
      </c>
      <c r="I24" s="2281"/>
      <c r="J24" s="2281">
        <v>1</v>
      </c>
      <c r="K24" s="359"/>
      <c r="L24" s="1295" t="str">
        <f>$G$24</f>
        <v>....1.1</v>
      </c>
      <c r="M24" s="288" t="s">
        <v>402</v>
      </c>
      <c r="N24" s="302"/>
      <c r="O24" s="2265"/>
      <c r="P24" s="2266"/>
      <c r="Q24" s="2266"/>
      <c r="R24" s="2266"/>
      <c r="S24" s="2266"/>
      <c r="T24" s="2266"/>
      <c r="U24" s="2266"/>
      <c r="V24" s="2266"/>
      <c r="W24" s="2267"/>
      <c r="X24" s="1260" t="s">
        <v>403</v>
      </c>
      <c r="Z24" s="502"/>
      <c r="AA24" s="502" t="str">
        <f>IF(M24="","",M24)</f>
        <v>Группа потребителей</v>
      </c>
      <c r="AB24" s="502"/>
      <c r="AC24" s="502"/>
      <c r="AD24" s="1157">
        <v>82</v>
      </c>
    </row>
    <row customHeight="1" ht="11.549999999999999">
      <c r="A25" s="1365" t="s">
        <v>165</v>
      </c>
      <c r="B25" s="1365" t="s">
        <v>166</v>
      </c>
      <c r="C25" s="1365" t="s">
        <v>167</v>
      </c>
      <c r="D25" s="1365" t="s">
        <v>168</v>
      </c>
      <c r="E25" s="1365"/>
      <c r="F25" s="2628"/>
      <c r="G25" s="2252"/>
      <c r="H25" s="2252" t="str">
        <f>G24&amp;".1"</f>
        <v>....1.1.1</v>
      </c>
      <c r="I25" s="2281"/>
      <c r="J25" s="2281"/>
      <c r="K25" s="359">
        <v>1</v>
      </c>
      <c r="L25" s="1295" t="str">
        <f>$H$25</f>
        <v>....1.1.1</v>
      </c>
      <c r="M25" s="1349"/>
      <c r="N25" s="302"/>
      <c r="O25" s="753"/>
      <c r="P25" s="327"/>
      <c r="Q25" s="753"/>
      <c r="R25" s="1259"/>
      <c r="S25" s="2632"/>
      <c r="T25" s="2150" t="s">
        <v>65</v>
      </c>
      <c r="U25" s="2632"/>
      <c r="V25" s="2150" t="s">
        <v>19</v>
      </c>
      <c r="W25" s="327"/>
      <c r="X25" s="2307" t="s">
        <v>405</v>
      </c>
      <c r="Y25" s="513">
        <f>STRCHECKDATE(O26:W26)</f>
      </c>
      <c r="Z25" s="502"/>
      <c r="AA25" s="502" t="str">
        <f>IF(M25="","",M25)</f>
        <v/>
      </c>
      <c r="AB25" s="502"/>
      <c r="AC25" s="502"/>
      <c r="AD25" s="1157">
        <v>11</v>
      </c>
    </row>
    <row customHeight="1" ht="11.549999999999999">
      <c r="A26" s="1365" t="s">
        <v>165</v>
      </c>
      <c r="B26" s="1365" t="s">
        <v>166</v>
      </c>
      <c r="C26" s="1365" t="s">
        <v>167</v>
      </c>
      <c r="D26" s="1365" t="s">
        <v>168</v>
      </c>
      <c r="E26" s="1365"/>
      <c r="F26" s="2628"/>
      <c r="G26" s="2252"/>
      <c r="H26" s="2252"/>
      <c r="I26" s="2281"/>
      <c r="J26" s="2281"/>
      <c r="K26" s="359"/>
      <c r="L26" s="1296"/>
      <c r="M26" s="302"/>
      <c r="N26" s="302"/>
      <c r="O26" s="327"/>
      <c r="P26" s="327"/>
      <c r="Q26" s="327"/>
      <c r="R26" s="330" t="str">
        <f>S25&amp;"-"&amp;U25</f>
        <v>-</v>
      </c>
      <c r="S26" s="2283"/>
      <c r="T26" s="2150"/>
      <c r="U26" s="2283"/>
      <c r="V26" s="2150"/>
      <c r="W26" s="327"/>
      <c r="X26" s="2308"/>
      <c r="Z26" s="502"/>
      <c r="AA26" s="502" t="str">
        <f>IF(M26="","",M26)</f>
        <v/>
      </c>
      <c r="AB26" s="502"/>
      <c r="AC26" s="502"/>
      <c r="AD26" s="1157">
        <v>11</v>
      </c>
    </row>
    <row customHeight="1" ht="15.75">
      <c r="A27" s="1365" t="s">
        <v>165</v>
      </c>
      <c r="B27" s="1365" t="s">
        <v>166</v>
      </c>
      <c r="C27" s="1365" t="s">
        <v>167</v>
      </c>
      <c r="D27" s="1365" t="s">
        <v>168</v>
      </c>
      <c r="E27" s="1365"/>
      <c r="F27" s="2628"/>
      <c r="G27" s="2252"/>
      <c r="I27" s="2281"/>
      <c r="J27" s="2281"/>
      <c r="K27" s="358"/>
      <c r="L27" s="1280"/>
      <c r="M27" s="290" t="s">
        <v>406</v>
      </c>
      <c r="N27" s="369"/>
      <c r="O27" s="369"/>
      <c r="P27" s="369"/>
      <c r="Q27" s="369"/>
      <c r="R27" s="369"/>
      <c r="S27" s="369"/>
      <c r="T27" s="369"/>
      <c r="U27" s="369"/>
      <c r="V27" s="369"/>
      <c r="W27" s="326"/>
      <c r="X27" s="2309"/>
      <c r="Z27" s="502"/>
      <c r="AA27" s="502" t="str">
        <f>IF(M27="","",M27)</f>
        <v>Добавить вид теплоносителя (параметры теплоносителя)</v>
      </c>
      <c r="AB27" s="502"/>
      <c r="AC27" s="502"/>
      <c r="AD27" s="1157">
        <v>15</v>
      </c>
    </row>
    <row customHeight="1" ht="15.75">
      <c r="A28" s="1365" t="s">
        <v>165</v>
      </c>
      <c r="B28" s="1365" t="s">
        <v>166</v>
      </c>
      <c r="C28" s="1365" t="s">
        <v>167</v>
      </c>
      <c r="D28" s="1365" t="s">
        <v>168</v>
      </c>
      <c r="E28" s="1365"/>
      <c r="F28" s="2628"/>
      <c r="I28" s="2281"/>
      <c r="J28" s="1293"/>
      <c r="K28" s="358"/>
      <c r="L28" s="1280"/>
      <c r="M28" s="289" t="s">
        <v>407</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165</v>
      </c>
      <c r="B29" s="1365" t="s">
        <v>166</v>
      </c>
      <c r="C29" s="1365" t="s">
        <v>167</v>
      </c>
      <c r="D29" s="1365" t="s">
        <v>168</v>
      </c>
      <c r="E29" s="1365"/>
      <c r="F29" s="1367"/>
      <c r="G29" s="1367"/>
      <c r="H29" s="539"/>
      <c r="I29" s="362"/>
      <c r="J29" s="377"/>
      <c r="K29" s="357"/>
      <c r="L29" s="1280"/>
      <c r="M29" s="367" t="s">
        <v>408</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165</v>
      </c>
      <c r="B30" s="1365" t="s">
        <v>166</v>
      </c>
      <c r="C30" s="1365" t="s">
        <v>167</v>
      </c>
      <c r="D30" s="1365"/>
      <c r="E30" s="1365" t="s">
        <v>580</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165</v>
      </c>
      <c r="B31" s="1365" t="s">
        <v>166</v>
      </c>
      <c r="C31" s="1365"/>
      <c r="D31" s="1365"/>
      <c r="E31" s="1365" t="s">
        <v>2277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2278</v>
      </c>
      <c r="B32" s="1365"/>
      <c r="C32" s="1365"/>
      <c r="D32" s="1365"/>
      <c r="E32" s="1365" t="s">
        <v>101</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49" customFormat="1" customHeight="1" ht="11.549999999999999">
      <c r="A33" s="1365"/>
      <c r="B33" s="1365"/>
      <c r="C33" s="1365"/>
      <c r="D33" s="1365"/>
      <c r="E33" s="1365" t="s">
        <v>439</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815</v>
      </c>
      <c r="M35" s="2276" t="s">
        <v>2279</v>
      </c>
      <c r="N35" s="2276"/>
      <c r="O35" s="2276"/>
      <c r="P35" s="2276"/>
      <c r="Q35" s="2276"/>
      <c r="R35" s="2276"/>
      <c r="S35" s="2276"/>
      <c r="T35" s="2276"/>
      <c r="U35" s="2276"/>
      <c r="V35" s="2276"/>
      <c r="W35" s="2276"/>
      <c r="X35" s="2276"/>
      <c r="AD35" s="1157">
        <v>27</v>
      </c>
    </row>
    <row customHeight="1" ht="109.19999999999999">
      <c r="H36" s="539"/>
      <c r="I36" s="1305"/>
      <c r="M36" s="2276" t="s">
        <v>2280</v>
      </c>
      <c r="N36" s="2276"/>
      <c r="O36" s="2276"/>
      <c r="P36" s="2276"/>
      <c r="Q36" s="2276"/>
      <c r="R36" s="2276"/>
      <c r="S36" s="2276"/>
      <c r="T36" s="2276"/>
      <c r="U36" s="2276"/>
      <c r="V36" s="2276"/>
      <c r="W36" s="2276"/>
      <c r="X36" s="2276"/>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92DC8-B2DB-5CB8-8138-5EF3A4298D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C345A-450A-9348-8BB8-037644E860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908B8-E078-E2A2-2D98-74F9536B19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7417B-1898-C368-056B-2964295787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B6A88-3846-1A58-E858-EE65506F37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FF86C-82A8-53FE-340F-8273C46D1E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4BA38-22A9-07DD-BFEB-1FBE1E7467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45E16D-5697-F388-0678-E9B2E6C3F62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07C1C-0A83-A998-8DD4-F84687D047E8}"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40" t="s">
        <v>2281</v>
      </c>
      <c r="B1" s="2641" t="s">
        <v>2282</v>
      </c>
      <c r="C1" s="2642" t="s">
        <v>2283</v>
      </c>
      <c r="D1" s="2643"/>
      <c r="E1" s="838" t="s">
        <v>2284</v>
      </c>
    </row>
    <row customHeight="1" ht="11.25">
      <c r="A2" s="2644"/>
      <c r="B2" s="767" t="s">
        <v>27</v>
      </c>
      <c r="C2" s="755"/>
      <c r="D2" s="766"/>
      <c r="E2" s="838"/>
    </row>
    <row customHeight="1" ht="11.25">
      <c r="A3" s="2645"/>
      <c r="B3" s="2646" t="s">
        <v>33</v>
      </c>
      <c r="C3" s="755"/>
      <c r="D3" s="766"/>
      <c r="E3" s="838"/>
    </row>
    <row customHeight="1" ht="11.25">
      <c r="A4" s="2647"/>
      <c r="B4" s="768" t="s">
        <v>1716</v>
      </c>
      <c r="C4" s="755"/>
      <c r="D4" s="766"/>
      <c r="E4" s="838"/>
    </row>
    <row customHeight="1" ht="11.25">
      <c r="A5" s="2648"/>
      <c r="B5" s="768" t="s">
        <v>1710</v>
      </c>
      <c r="C5" s="2649" t="s">
        <v>2051</v>
      </c>
      <c r="D5" s="2650" t="s">
        <v>2285</v>
      </c>
      <c r="E5" s="838"/>
    </row>
    <row s="1849" customFormat="1" customHeight="1" ht="11.25">
      <c r="A6" s="2651"/>
      <c r="B6" s="768" t="s">
        <v>1720</v>
      </c>
      <c r="C6" s="755"/>
      <c r="D6" s="766"/>
      <c r="E6" s="838"/>
    </row>
    <row customHeight="1" ht="11.25">
      <c r="A7" s="2652"/>
      <c r="B7" s="768" t="s">
        <v>1728</v>
      </c>
      <c r="C7" s="755"/>
      <c r="D7" s="766"/>
      <c r="E7" s="838"/>
    </row>
    <row customHeight="1" ht="11.25">
      <c r="A8" s="758"/>
      <c r="B8" s="768" t="s">
        <v>1723</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1C918-58FE-AF5B-3A34-B2D0ADA8F5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9B770B-FA12-A74A-EF18-3B7F2DC209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A1DA8-5401-AB68-EAB3-877BBC48DE0A}" mc:Ignorable="x14ac xr xr2 xr3">
  <sheetPr>
    <tabColor rgb="FFFFCC99"/>
  </sheetPr>
  <dimension ref="A1:I273"/>
  <sheetViews>
    <sheetView topLeftCell="A1" showGridLines="0" workbookViewId="0">
      <selection activeCell="A1" sqref="A1"/>
    </sheetView>
  </sheetViews>
  <sheetFormatPr defaultColWidth="9.140625" customHeight="1" defaultRowHeight="11.25"/>
  <cols>
    <col min="1" max="2" style="1849" width="9.140625"/>
  </cols>
  <sheetData>
    <row customHeight="1" ht="11.25">
      <c r="A1" s="70" t="s">
        <v>2286</v>
      </c>
      <c r="B1" s="70" t="s">
        <v>2287</v>
      </c>
      <c r="C1" s="64" t="s">
        <v>2288</v>
      </c>
      <c r="D1" s="64" t="s">
        <v>2289</v>
      </c>
      <c r="E1" s="64" t="s">
        <v>2290</v>
      </c>
      <c r="F1" s="64" t="s">
        <v>2291</v>
      </c>
      <c r="G1" s="64" t="s">
        <v>2292</v>
      </c>
      <c r="H1" s="64" t="s">
        <v>2293</v>
      </c>
      <c r="I1" s="64" t="s">
        <v>2294</v>
      </c>
    </row>
    <row customHeight="1" ht="11.25">
      <c r="A2" s="1849" t="s">
        <v>2295</v>
      </c>
      <c r="B2" s="1849" t="s">
        <v>16</v>
      </c>
      <c r="C2" s="64" t="s">
        <v>2296</v>
      </c>
      <c r="D2" s="64" t="s">
        <v>2297</v>
      </c>
      <c r="E2" s="64" t="s">
        <v>2298</v>
      </c>
      <c r="F2" s="64" t="s">
        <v>2299</v>
      </c>
      <c r="G2" s="64" t="s">
        <v>22</v>
      </c>
      <c r="H2" s="64" t="s">
        <v>22</v>
      </c>
      <c r="I2" s="64" t="s">
        <v>819</v>
      </c>
    </row>
    <row customHeight="1" ht="11.25">
      <c r="A3" s="1849" t="s">
        <v>2295</v>
      </c>
      <c r="B3" s="1849" t="s">
        <v>16</v>
      </c>
      <c r="C3" s="0" t="s">
        <v>2300</v>
      </c>
      <c r="D3" s="0" t="s">
        <v>2301</v>
      </c>
      <c r="E3" s="0" t="s">
        <v>2302</v>
      </c>
      <c r="F3" s="0" t="s">
        <v>2303</v>
      </c>
      <c r="G3" s="0" t="s">
        <v>22</v>
      </c>
      <c r="H3" s="0" t="s">
        <v>22</v>
      </c>
      <c r="I3" s="0" t="s">
        <v>819</v>
      </c>
    </row>
    <row customHeight="1" ht="11.25">
      <c r="A4" s="1849" t="s">
        <v>2295</v>
      </c>
      <c r="B4" s="1849" t="s">
        <v>16</v>
      </c>
      <c r="C4" s="0" t="s">
        <v>2304</v>
      </c>
      <c r="D4" s="0" t="s">
        <v>2305</v>
      </c>
      <c r="E4" s="0" t="s">
        <v>2306</v>
      </c>
      <c r="F4" s="0" t="s">
        <v>2307</v>
      </c>
      <c r="G4" s="0" t="s">
        <v>22</v>
      </c>
      <c r="H4" s="0" t="s">
        <v>22</v>
      </c>
      <c r="I4" s="0" t="s">
        <v>819</v>
      </c>
    </row>
    <row customHeight="1" ht="11.25">
      <c r="A5" s="1849" t="s">
        <v>2295</v>
      </c>
      <c r="B5" s="1849" t="s">
        <v>16</v>
      </c>
      <c r="C5" s="0" t="s">
        <v>2308</v>
      </c>
      <c r="D5" s="0" t="s">
        <v>2309</v>
      </c>
      <c r="E5" s="0" t="s">
        <v>2310</v>
      </c>
      <c r="F5" s="0" t="s">
        <v>2307</v>
      </c>
      <c r="G5" s="0" t="s">
        <v>22</v>
      </c>
      <c r="H5" s="0" t="s">
        <v>22</v>
      </c>
      <c r="I5" s="0" t="s">
        <v>819</v>
      </c>
    </row>
    <row customHeight="1" ht="11.25">
      <c r="A6" s="1849" t="s">
        <v>2295</v>
      </c>
      <c r="B6" s="1849" t="s">
        <v>16</v>
      </c>
      <c r="C6" s="0" t="s">
        <v>2311</v>
      </c>
      <c r="D6" s="0" t="s">
        <v>2312</v>
      </c>
      <c r="E6" s="0" t="s">
        <v>2313</v>
      </c>
      <c r="F6" s="0" t="s">
        <v>2314</v>
      </c>
      <c r="G6" s="0" t="s">
        <v>22</v>
      </c>
      <c r="H6" s="0" t="s">
        <v>22</v>
      </c>
      <c r="I6" s="0" t="s">
        <v>819</v>
      </c>
    </row>
    <row customHeight="1" ht="11.25">
      <c r="A7" s="1849" t="s">
        <v>2295</v>
      </c>
      <c r="B7" s="1849" t="s">
        <v>16</v>
      </c>
      <c r="C7" s="0" t="s">
        <v>2315</v>
      </c>
      <c r="D7" s="0" t="s">
        <v>2316</v>
      </c>
      <c r="E7" s="0" t="s">
        <v>2317</v>
      </c>
      <c r="F7" s="0" t="s">
        <v>2318</v>
      </c>
      <c r="G7" s="0" t="s">
        <v>22</v>
      </c>
      <c r="H7" s="0" t="s">
        <v>22</v>
      </c>
      <c r="I7" s="0" t="s">
        <v>819</v>
      </c>
    </row>
    <row customHeight="1" ht="11.25">
      <c r="A8" s="1849" t="s">
        <v>2295</v>
      </c>
      <c r="B8" s="1849" t="s">
        <v>16</v>
      </c>
      <c r="C8" s="0" t="s">
        <v>2319</v>
      </c>
      <c r="D8" s="0" t="s">
        <v>2320</v>
      </c>
      <c r="E8" s="0" t="s">
        <v>2321</v>
      </c>
      <c r="F8" s="0" t="s">
        <v>2322</v>
      </c>
      <c r="G8" s="0" t="s">
        <v>22</v>
      </c>
      <c r="H8" s="0" t="s">
        <v>22</v>
      </c>
      <c r="I8" s="0" t="s">
        <v>819</v>
      </c>
    </row>
    <row customHeight="1" ht="11.25">
      <c r="A9" s="1849" t="s">
        <v>2295</v>
      </c>
      <c r="B9" s="1849" t="s">
        <v>16</v>
      </c>
      <c r="C9" s="0" t="s">
        <v>2323</v>
      </c>
      <c r="D9" s="0" t="s">
        <v>2324</v>
      </c>
      <c r="E9" s="0" t="s">
        <v>2325</v>
      </c>
      <c r="F9" s="0" t="s">
        <v>2299</v>
      </c>
      <c r="G9" s="0" t="s">
        <v>22</v>
      </c>
      <c r="H9" s="0" t="s">
        <v>22</v>
      </c>
      <c r="I9" s="0" t="s">
        <v>819</v>
      </c>
    </row>
    <row customHeight="1" ht="11.25">
      <c r="A10" s="1849" t="s">
        <v>2295</v>
      </c>
      <c r="B10" s="1849" t="s">
        <v>16</v>
      </c>
      <c r="C10" s="0" t="s">
        <v>2326</v>
      </c>
      <c r="D10" s="0" t="s">
        <v>2327</v>
      </c>
      <c r="E10" s="0" t="s">
        <v>2328</v>
      </c>
      <c r="F10" s="0" t="s">
        <v>2329</v>
      </c>
      <c r="G10" s="0" t="s">
        <v>22</v>
      </c>
      <c r="H10" s="0" t="s">
        <v>22</v>
      </c>
      <c r="I10" s="0" t="s">
        <v>819</v>
      </c>
    </row>
    <row customHeight="1" ht="11.25">
      <c r="A11" s="1849" t="s">
        <v>2295</v>
      </c>
      <c r="B11" s="1849" t="s">
        <v>16</v>
      </c>
      <c r="C11" s="0" t="s">
        <v>2330</v>
      </c>
      <c r="D11" s="0" t="s">
        <v>2331</v>
      </c>
      <c r="E11" s="0" t="s">
        <v>2332</v>
      </c>
      <c r="F11" s="0" t="s">
        <v>2299</v>
      </c>
      <c r="G11" s="0" t="s">
        <v>22</v>
      </c>
      <c r="H11" s="0" t="s">
        <v>22</v>
      </c>
      <c r="I11" s="0" t="s">
        <v>819</v>
      </c>
    </row>
    <row customHeight="1" ht="11.25">
      <c r="A12" s="1849" t="s">
        <v>2295</v>
      </c>
      <c r="B12" s="1849" t="s">
        <v>16</v>
      </c>
      <c r="C12" s="0" t="s">
        <v>2333</v>
      </c>
      <c r="D12" s="0" t="s">
        <v>2334</v>
      </c>
      <c r="E12" s="0" t="s">
        <v>2335</v>
      </c>
      <c r="F12" s="0" t="s">
        <v>2314</v>
      </c>
      <c r="G12" s="0" t="s">
        <v>2336</v>
      </c>
      <c r="H12" s="0" t="s">
        <v>22</v>
      </c>
      <c r="I12" s="0" t="s">
        <v>819</v>
      </c>
    </row>
    <row customHeight="1" ht="11.25">
      <c r="A13" s="1849" t="s">
        <v>2295</v>
      </c>
      <c r="B13" s="1849" t="s">
        <v>16</v>
      </c>
      <c r="C13" s="0" t="s">
        <v>2337</v>
      </c>
      <c r="D13" s="0" t="s">
        <v>2338</v>
      </c>
      <c r="E13" s="0" t="s">
        <v>2339</v>
      </c>
      <c r="F13" s="0" t="s">
        <v>2340</v>
      </c>
      <c r="G13" s="0" t="s">
        <v>22</v>
      </c>
      <c r="H13" s="0" t="s">
        <v>22</v>
      </c>
      <c r="I13" s="0" t="s">
        <v>819</v>
      </c>
    </row>
    <row customHeight="1" ht="11.25">
      <c r="A14" s="1849" t="s">
        <v>2295</v>
      </c>
      <c r="B14" s="1849" t="s">
        <v>16</v>
      </c>
      <c r="C14" s="0" t="s">
        <v>2341</v>
      </c>
      <c r="D14" s="0" t="s">
        <v>2342</v>
      </c>
      <c r="E14" s="0" t="s">
        <v>2343</v>
      </c>
      <c r="F14" s="0" t="s">
        <v>2307</v>
      </c>
      <c r="G14" s="0" t="s">
        <v>22</v>
      </c>
      <c r="H14" s="0" t="s">
        <v>22</v>
      </c>
      <c r="I14" s="0" t="s">
        <v>819</v>
      </c>
    </row>
    <row customHeight="1" ht="11.25">
      <c r="A15" s="1849" t="s">
        <v>2295</v>
      </c>
      <c r="B15" s="1849" t="s">
        <v>16</v>
      </c>
      <c r="C15" s="0" t="s">
        <v>2344</v>
      </c>
      <c r="D15" s="0" t="s">
        <v>2345</v>
      </c>
      <c r="E15" s="0" t="s">
        <v>2346</v>
      </c>
      <c r="F15" s="0" t="s">
        <v>2340</v>
      </c>
      <c r="G15" s="0" t="s">
        <v>22</v>
      </c>
      <c r="H15" s="0" t="s">
        <v>22</v>
      </c>
      <c r="I15" s="0" t="s">
        <v>819</v>
      </c>
    </row>
    <row customHeight="1" ht="11.25">
      <c r="A16" s="1849" t="s">
        <v>2295</v>
      </c>
      <c r="B16" s="1849" t="s">
        <v>16</v>
      </c>
      <c r="C16" s="0" t="s">
        <v>2347</v>
      </c>
      <c r="D16" s="0" t="s">
        <v>2348</v>
      </c>
      <c r="E16" s="0" t="s">
        <v>2349</v>
      </c>
      <c r="F16" s="0" t="s">
        <v>2350</v>
      </c>
      <c r="G16" s="0" t="s">
        <v>22</v>
      </c>
      <c r="H16" s="0" t="s">
        <v>22</v>
      </c>
      <c r="I16" s="0" t="s">
        <v>819</v>
      </c>
    </row>
    <row customHeight="1" ht="11.25">
      <c r="A17" s="1849" t="s">
        <v>2295</v>
      </c>
      <c r="B17" s="1849" t="s">
        <v>16</v>
      </c>
      <c r="C17" s="0" t="s">
        <v>2351</v>
      </c>
      <c r="D17" s="0" t="s">
        <v>2352</v>
      </c>
      <c r="E17" s="0" t="s">
        <v>2353</v>
      </c>
      <c r="F17" s="0" t="s">
        <v>2354</v>
      </c>
      <c r="G17" s="0" t="s">
        <v>22</v>
      </c>
      <c r="H17" s="0" t="s">
        <v>22</v>
      </c>
      <c r="I17" s="0" t="s">
        <v>819</v>
      </c>
    </row>
    <row customHeight="1" ht="11.25">
      <c r="A18" s="1849" t="s">
        <v>2295</v>
      </c>
      <c r="B18" s="1849" t="s">
        <v>16</v>
      </c>
      <c r="C18" s="0" t="s">
        <v>2355</v>
      </c>
      <c r="D18" s="0" t="s">
        <v>2356</v>
      </c>
      <c r="E18" s="0" t="s">
        <v>2357</v>
      </c>
      <c r="F18" s="0" t="s">
        <v>2358</v>
      </c>
      <c r="G18" s="0" t="s">
        <v>22</v>
      </c>
      <c r="H18" s="0" t="s">
        <v>22</v>
      </c>
      <c r="I18" s="0" t="s">
        <v>819</v>
      </c>
    </row>
    <row customHeight="1" ht="11.25">
      <c r="A19" s="1849" t="s">
        <v>2295</v>
      </c>
      <c r="B19" s="1849" t="s">
        <v>16</v>
      </c>
      <c r="C19" s="0" t="s">
        <v>2359</v>
      </c>
      <c r="D19" s="0" t="s">
        <v>2360</v>
      </c>
      <c r="E19" s="0" t="s">
        <v>2361</v>
      </c>
      <c r="F19" s="0" t="s">
        <v>2299</v>
      </c>
      <c r="G19" s="0" t="s">
        <v>22</v>
      </c>
      <c r="H19" s="0" t="s">
        <v>22</v>
      </c>
      <c r="I19" s="0" t="s">
        <v>819</v>
      </c>
    </row>
    <row customHeight="1" ht="11.25">
      <c r="A20" s="1849" t="s">
        <v>2295</v>
      </c>
      <c r="B20" s="1849" t="s">
        <v>16</v>
      </c>
      <c r="C20" s="0" t="s">
        <v>2362</v>
      </c>
      <c r="D20" s="0" t="s">
        <v>2363</v>
      </c>
      <c r="E20" s="0" t="s">
        <v>2364</v>
      </c>
      <c r="F20" s="0" t="s">
        <v>2365</v>
      </c>
      <c r="G20" s="0" t="s">
        <v>2366</v>
      </c>
      <c r="H20" s="0" t="s">
        <v>22</v>
      </c>
      <c r="I20" s="0" t="s">
        <v>819</v>
      </c>
    </row>
    <row customHeight="1" ht="11.25">
      <c r="A21" s="1849" t="s">
        <v>2295</v>
      </c>
      <c r="B21" s="1849" t="s">
        <v>16</v>
      </c>
      <c r="C21" s="0" t="s">
        <v>2367</v>
      </c>
      <c r="D21" s="0" t="s">
        <v>2368</v>
      </c>
      <c r="E21" s="0" t="s">
        <v>2369</v>
      </c>
      <c r="F21" s="0" t="s">
        <v>2322</v>
      </c>
      <c r="G21" s="0" t="s">
        <v>22</v>
      </c>
      <c r="H21" s="0" t="s">
        <v>22</v>
      </c>
      <c r="I21" s="0" t="s">
        <v>819</v>
      </c>
    </row>
    <row customHeight="1" ht="11.25">
      <c r="A22" s="1849" t="s">
        <v>2295</v>
      </c>
      <c r="B22" s="1849" t="s">
        <v>16</v>
      </c>
      <c r="C22" s="0" t="s">
        <v>2370</v>
      </c>
      <c r="D22" s="0" t="s">
        <v>2371</v>
      </c>
      <c r="E22" s="0" t="s">
        <v>2372</v>
      </c>
      <c r="F22" s="0" t="s">
        <v>2373</v>
      </c>
      <c r="G22" s="0" t="s">
        <v>2374</v>
      </c>
      <c r="H22" s="0" t="s">
        <v>22</v>
      </c>
      <c r="I22" s="0" t="s">
        <v>819</v>
      </c>
    </row>
    <row customHeight="1" ht="11.25">
      <c r="A23" s="1849" t="s">
        <v>2295</v>
      </c>
      <c r="B23" s="1849" t="s">
        <v>16</v>
      </c>
      <c r="C23" s="0" t="s">
        <v>2375</v>
      </c>
      <c r="D23" s="0" t="s">
        <v>2376</v>
      </c>
      <c r="E23" s="0" t="s">
        <v>2377</v>
      </c>
      <c r="F23" s="0" t="s">
        <v>2318</v>
      </c>
      <c r="G23" s="0" t="s">
        <v>22</v>
      </c>
      <c r="H23" s="0" t="s">
        <v>22</v>
      </c>
      <c r="I23" s="0" t="s">
        <v>819</v>
      </c>
    </row>
    <row customHeight="1" ht="11.25">
      <c r="A24" s="1849" t="s">
        <v>2295</v>
      </c>
      <c r="B24" s="1849" t="s">
        <v>16</v>
      </c>
      <c r="C24" s="0" t="s">
        <v>2378</v>
      </c>
      <c r="D24" s="0" t="s">
        <v>2379</v>
      </c>
      <c r="E24" s="0" t="s">
        <v>2380</v>
      </c>
      <c r="F24" s="0" t="s">
        <v>2307</v>
      </c>
      <c r="G24" s="0" t="s">
        <v>2381</v>
      </c>
      <c r="H24" s="0" t="s">
        <v>22</v>
      </c>
      <c r="I24" s="0" t="s">
        <v>819</v>
      </c>
    </row>
    <row customHeight="1" ht="11.25">
      <c r="A25" s="1849" t="s">
        <v>2295</v>
      </c>
      <c r="B25" s="1849" t="s">
        <v>16</v>
      </c>
      <c r="C25" s="0" t="s">
        <v>2382</v>
      </c>
      <c r="D25" s="0" t="s">
        <v>2379</v>
      </c>
      <c r="E25" s="0" t="s">
        <v>2383</v>
      </c>
      <c r="F25" s="0" t="s">
        <v>2384</v>
      </c>
      <c r="G25" s="0" t="s">
        <v>2385</v>
      </c>
      <c r="H25" s="0" t="s">
        <v>22</v>
      </c>
      <c r="I25" s="0" t="s">
        <v>819</v>
      </c>
    </row>
    <row customHeight="1" ht="11.25">
      <c r="A26" s="1849" t="s">
        <v>2295</v>
      </c>
      <c r="B26" s="1849" t="s">
        <v>16</v>
      </c>
      <c r="C26" s="0" t="s">
        <v>2386</v>
      </c>
      <c r="D26" s="0" t="s">
        <v>2387</v>
      </c>
      <c r="E26" s="0" t="s">
        <v>2388</v>
      </c>
      <c r="F26" s="0" t="s">
        <v>2384</v>
      </c>
      <c r="G26" s="0" t="s">
        <v>2389</v>
      </c>
      <c r="H26" s="0" t="s">
        <v>22</v>
      </c>
      <c r="I26" s="0" t="s">
        <v>819</v>
      </c>
    </row>
    <row customHeight="1" ht="11.25">
      <c r="A27" s="1849" t="s">
        <v>2295</v>
      </c>
      <c r="B27" s="1849" t="s">
        <v>16</v>
      </c>
      <c r="C27" s="0" t="s">
        <v>2390</v>
      </c>
      <c r="D27" s="0" t="s">
        <v>2391</v>
      </c>
      <c r="E27" s="0" t="s">
        <v>2392</v>
      </c>
      <c r="F27" s="0" t="s">
        <v>2373</v>
      </c>
      <c r="G27" s="0" t="s">
        <v>22</v>
      </c>
      <c r="H27" s="0" t="s">
        <v>22</v>
      </c>
      <c r="I27" s="0" t="s">
        <v>819</v>
      </c>
    </row>
    <row customHeight="1" ht="11.25">
      <c r="A28" s="1849" t="s">
        <v>2295</v>
      </c>
      <c r="B28" s="1849" t="s">
        <v>16</v>
      </c>
      <c r="C28" s="0" t="s">
        <v>2393</v>
      </c>
      <c r="D28" s="0" t="s">
        <v>2394</v>
      </c>
      <c r="E28" s="0" t="s">
        <v>2395</v>
      </c>
      <c r="F28" s="0" t="s">
        <v>2396</v>
      </c>
      <c r="G28" s="0" t="s">
        <v>22</v>
      </c>
      <c r="H28" s="0" t="s">
        <v>22</v>
      </c>
      <c r="I28" s="0" t="s">
        <v>819</v>
      </c>
    </row>
    <row customHeight="1" ht="11.25">
      <c r="A29" s="1849" t="s">
        <v>2295</v>
      </c>
      <c r="B29" s="1849" t="s">
        <v>16</v>
      </c>
      <c r="C29" s="0" t="s">
        <v>2397</v>
      </c>
      <c r="D29" s="0" t="s">
        <v>2398</v>
      </c>
      <c r="E29" s="0" t="s">
        <v>2399</v>
      </c>
      <c r="F29" s="0" t="s">
        <v>2373</v>
      </c>
      <c r="G29" s="0" t="s">
        <v>2400</v>
      </c>
      <c r="H29" s="0" t="s">
        <v>22</v>
      </c>
      <c r="I29" s="0" t="s">
        <v>819</v>
      </c>
    </row>
    <row customHeight="1" ht="11.25">
      <c r="A30" s="1849" t="s">
        <v>2295</v>
      </c>
      <c r="B30" s="1849" t="s">
        <v>16</v>
      </c>
      <c r="C30" s="0" t="s">
        <v>2401</v>
      </c>
      <c r="D30" s="0" t="s">
        <v>2402</v>
      </c>
      <c r="E30" s="0" t="s">
        <v>2403</v>
      </c>
      <c r="F30" s="0" t="s">
        <v>2340</v>
      </c>
      <c r="G30" s="0" t="s">
        <v>2404</v>
      </c>
      <c r="H30" s="0" t="s">
        <v>22</v>
      </c>
      <c r="I30" s="0" t="s">
        <v>819</v>
      </c>
    </row>
    <row customHeight="1" ht="11.25">
      <c r="A31" s="1849" t="s">
        <v>2295</v>
      </c>
      <c r="B31" s="1849" t="s">
        <v>16</v>
      </c>
      <c r="C31" s="0" t="s">
        <v>2405</v>
      </c>
      <c r="D31" s="0" t="s">
        <v>2406</v>
      </c>
      <c r="E31" s="0" t="s">
        <v>2407</v>
      </c>
      <c r="F31" s="0" t="s">
        <v>2384</v>
      </c>
      <c r="G31" s="0" t="s">
        <v>2408</v>
      </c>
      <c r="H31" s="0" t="s">
        <v>22</v>
      </c>
      <c r="I31" s="0" t="s">
        <v>819</v>
      </c>
    </row>
    <row customHeight="1" ht="11.25">
      <c r="A32" s="1849" t="s">
        <v>2295</v>
      </c>
      <c r="B32" s="1849" t="s">
        <v>16</v>
      </c>
      <c r="C32" s="0" t="s">
        <v>2409</v>
      </c>
      <c r="D32" s="0" t="s">
        <v>2410</v>
      </c>
      <c r="E32" s="0" t="s">
        <v>2411</v>
      </c>
      <c r="F32" s="0" t="s">
        <v>2314</v>
      </c>
      <c r="G32" s="0" t="s">
        <v>2412</v>
      </c>
      <c r="H32" s="0" t="s">
        <v>22</v>
      </c>
      <c r="I32" s="0" t="s">
        <v>819</v>
      </c>
    </row>
    <row customHeight="1" ht="11.25">
      <c r="A33" s="1849" t="s">
        <v>2295</v>
      </c>
      <c r="B33" s="1849" t="s">
        <v>16</v>
      </c>
      <c r="C33" s="0" t="s">
        <v>2413</v>
      </c>
      <c r="D33" s="0" t="s">
        <v>2414</v>
      </c>
      <c r="E33" s="0" t="s">
        <v>2415</v>
      </c>
      <c r="F33" s="0" t="s">
        <v>2416</v>
      </c>
      <c r="G33" s="0" t="s">
        <v>22</v>
      </c>
      <c r="H33" s="0" t="s">
        <v>22</v>
      </c>
      <c r="I33" s="0" t="s">
        <v>819</v>
      </c>
    </row>
    <row customHeight="1" ht="11.25">
      <c r="A34" s="1849" t="s">
        <v>2295</v>
      </c>
      <c r="B34" s="1849" t="s">
        <v>16</v>
      </c>
      <c r="C34" s="0" t="s">
        <v>2417</v>
      </c>
      <c r="D34" s="0" t="s">
        <v>2418</v>
      </c>
      <c r="E34" s="0" t="s">
        <v>2419</v>
      </c>
      <c r="F34" s="0" t="s">
        <v>2318</v>
      </c>
      <c r="G34" s="0" t="s">
        <v>22</v>
      </c>
      <c r="H34" s="0" t="s">
        <v>22</v>
      </c>
      <c r="I34" s="0" t="s">
        <v>819</v>
      </c>
    </row>
    <row customHeight="1" ht="11.25">
      <c r="A35" s="1849" t="s">
        <v>2295</v>
      </c>
      <c r="B35" s="1849" t="s">
        <v>16</v>
      </c>
      <c r="C35" s="0" t="s">
        <v>13</v>
      </c>
      <c r="D35" s="0" t="s">
        <v>46</v>
      </c>
      <c r="E35" s="0" t="s">
        <v>49</v>
      </c>
      <c r="F35" s="0" t="s">
        <v>51</v>
      </c>
      <c r="G35" s="0" t="s">
        <v>22</v>
      </c>
      <c r="H35" s="0" t="s">
        <v>22</v>
      </c>
      <c r="I35" s="0" t="s">
        <v>819</v>
      </c>
    </row>
    <row customHeight="1" ht="11.25">
      <c r="A36" s="1849" t="s">
        <v>2295</v>
      </c>
      <c r="B36" s="1849" t="s">
        <v>16</v>
      </c>
      <c r="C36" s="0" t="s">
        <v>2420</v>
      </c>
      <c r="D36" s="0" t="s">
        <v>2421</v>
      </c>
      <c r="E36" s="0" t="s">
        <v>2422</v>
      </c>
      <c r="F36" s="0" t="s">
        <v>2423</v>
      </c>
      <c r="G36" s="0" t="s">
        <v>22</v>
      </c>
      <c r="H36" s="0" t="s">
        <v>22</v>
      </c>
      <c r="I36" s="0" t="s">
        <v>819</v>
      </c>
    </row>
    <row customHeight="1" ht="11.25">
      <c r="A37" s="1849" t="s">
        <v>2295</v>
      </c>
      <c r="B37" s="1849" t="s">
        <v>16</v>
      </c>
      <c r="C37" s="0" t="s">
        <v>2424</v>
      </c>
      <c r="D37" s="0" t="s">
        <v>2425</v>
      </c>
      <c r="E37" s="0" t="s">
        <v>2426</v>
      </c>
      <c r="F37" s="0" t="s">
        <v>2318</v>
      </c>
      <c r="G37" s="0" t="s">
        <v>22</v>
      </c>
      <c r="H37" s="0" t="s">
        <v>22</v>
      </c>
      <c r="I37" s="0" t="s">
        <v>819</v>
      </c>
    </row>
    <row customHeight="1" ht="11.25">
      <c r="A38" s="1849" t="s">
        <v>2295</v>
      </c>
      <c r="B38" s="1849" t="s">
        <v>16</v>
      </c>
      <c r="C38" s="0" t="s">
        <v>2427</v>
      </c>
      <c r="D38" s="0" t="s">
        <v>2428</v>
      </c>
      <c r="E38" s="0" t="s">
        <v>2429</v>
      </c>
      <c r="F38" s="0" t="s">
        <v>2358</v>
      </c>
      <c r="G38" s="0" t="s">
        <v>22</v>
      </c>
      <c r="H38" s="0" t="s">
        <v>22</v>
      </c>
      <c r="I38" s="0" t="s">
        <v>819</v>
      </c>
    </row>
    <row customHeight="1" ht="11.25">
      <c r="A39" s="1849" t="s">
        <v>2295</v>
      </c>
      <c r="B39" s="1849" t="s">
        <v>16</v>
      </c>
      <c r="C39" s="0" t="s">
        <v>2430</v>
      </c>
      <c r="D39" s="0" t="s">
        <v>2431</v>
      </c>
      <c r="E39" s="0" t="s">
        <v>2328</v>
      </c>
      <c r="F39" s="0" t="s">
        <v>2432</v>
      </c>
      <c r="G39" s="0" t="s">
        <v>22</v>
      </c>
      <c r="H39" s="0" t="s">
        <v>22</v>
      </c>
      <c r="I39" s="0" t="s">
        <v>819</v>
      </c>
    </row>
    <row customHeight="1" ht="11.25">
      <c r="A40" s="1849" t="s">
        <v>2295</v>
      </c>
      <c r="B40" s="1849" t="s">
        <v>16</v>
      </c>
      <c r="C40" s="0" t="s">
        <v>2433</v>
      </c>
      <c r="D40" s="0" t="s">
        <v>2434</v>
      </c>
      <c r="E40" s="0" t="s">
        <v>2435</v>
      </c>
      <c r="F40" s="0" t="s">
        <v>2384</v>
      </c>
      <c r="G40" s="0" t="s">
        <v>2436</v>
      </c>
      <c r="H40" s="0" t="s">
        <v>22</v>
      </c>
      <c r="I40" s="0" t="s">
        <v>819</v>
      </c>
    </row>
    <row customHeight="1" ht="11.25">
      <c r="A41" s="1849" t="s">
        <v>2295</v>
      </c>
      <c r="B41" s="1849" t="s">
        <v>16</v>
      </c>
      <c r="C41" s="0" t="s">
        <v>2437</v>
      </c>
      <c r="D41" s="0" t="s">
        <v>2438</v>
      </c>
      <c r="E41" s="0" t="s">
        <v>2439</v>
      </c>
      <c r="F41" s="0" t="s">
        <v>2440</v>
      </c>
      <c r="G41" s="0" t="s">
        <v>2441</v>
      </c>
      <c r="H41" s="0" t="s">
        <v>22</v>
      </c>
      <c r="I41" s="0" t="s">
        <v>819</v>
      </c>
    </row>
    <row customHeight="1" ht="11.25">
      <c r="A42" s="1849" t="s">
        <v>2295</v>
      </c>
      <c r="B42" s="1849" t="s">
        <v>16</v>
      </c>
      <c r="C42" s="0" t="s">
        <v>2442</v>
      </c>
      <c r="D42" s="0" t="s">
        <v>2443</v>
      </c>
      <c r="E42" s="0" t="s">
        <v>2444</v>
      </c>
      <c r="F42" s="0" t="s">
        <v>2445</v>
      </c>
      <c r="G42" s="0" t="s">
        <v>2446</v>
      </c>
      <c r="H42" s="0" t="s">
        <v>22</v>
      </c>
      <c r="I42" s="0" t="s">
        <v>819</v>
      </c>
    </row>
    <row customHeight="1" ht="11.25">
      <c r="A43" s="1849" t="s">
        <v>2295</v>
      </c>
      <c r="B43" s="1849" t="s">
        <v>16</v>
      </c>
      <c r="C43" s="0" t="s">
        <v>2447</v>
      </c>
      <c r="D43" s="0" t="s">
        <v>2448</v>
      </c>
      <c r="E43" s="0" t="s">
        <v>2449</v>
      </c>
      <c r="F43" s="0" t="s">
        <v>2299</v>
      </c>
      <c r="G43" s="0" t="s">
        <v>22</v>
      </c>
      <c r="H43" s="0" t="s">
        <v>22</v>
      </c>
      <c r="I43" s="0" t="s">
        <v>819</v>
      </c>
    </row>
    <row customHeight="1" ht="11.25">
      <c r="A44" s="1849" t="s">
        <v>2295</v>
      </c>
      <c r="B44" s="1849" t="s">
        <v>16</v>
      </c>
      <c r="C44" s="0" t="s">
        <v>2450</v>
      </c>
      <c r="D44" s="0" t="s">
        <v>2448</v>
      </c>
      <c r="E44" s="0" t="s">
        <v>2449</v>
      </c>
      <c r="F44" s="0" t="s">
        <v>2451</v>
      </c>
      <c r="G44" s="0" t="s">
        <v>22</v>
      </c>
      <c r="H44" s="0" t="s">
        <v>22</v>
      </c>
      <c r="I44" s="0" t="s">
        <v>819</v>
      </c>
    </row>
    <row customHeight="1" ht="11.25">
      <c r="A45" s="1849" t="s">
        <v>2295</v>
      </c>
      <c r="B45" s="1849" t="s">
        <v>16</v>
      </c>
      <c r="C45" s="0" t="s">
        <v>2452</v>
      </c>
      <c r="D45" s="0" t="s">
        <v>2453</v>
      </c>
      <c r="E45" s="0" t="s">
        <v>2454</v>
      </c>
      <c r="F45" s="0" t="s">
        <v>2340</v>
      </c>
      <c r="G45" s="0" t="s">
        <v>22</v>
      </c>
      <c r="H45" s="0" t="s">
        <v>22</v>
      </c>
      <c r="I45" s="0" t="s">
        <v>819</v>
      </c>
    </row>
    <row customHeight="1" ht="11.25">
      <c r="A46" s="1849" t="s">
        <v>2295</v>
      </c>
      <c r="B46" s="1849" t="s">
        <v>16</v>
      </c>
      <c r="C46" s="0" t="s">
        <v>2455</v>
      </c>
      <c r="D46" s="0" t="s">
        <v>2456</v>
      </c>
      <c r="E46" s="0" t="s">
        <v>2457</v>
      </c>
      <c r="F46" s="0" t="s">
        <v>2445</v>
      </c>
      <c r="G46" s="0" t="s">
        <v>2458</v>
      </c>
      <c r="H46" s="0" t="s">
        <v>22</v>
      </c>
      <c r="I46" s="0" t="s">
        <v>819</v>
      </c>
    </row>
    <row customHeight="1" ht="11.25">
      <c r="A47" s="1849" t="s">
        <v>2295</v>
      </c>
      <c r="B47" s="1849" t="s">
        <v>16</v>
      </c>
      <c r="C47" s="0" t="s">
        <v>2459</v>
      </c>
      <c r="D47" s="0" t="s">
        <v>2460</v>
      </c>
      <c r="E47" s="0" t="s">
        <v>2461</v>
      </c>
      <c r="F47" s="0" t="s">
        <v>2318</v>
      </c>
      <c r="G47" s="0" t="s">
        <v>22</v>
      </c>
      <c r="H47" s="0" t="s">
        <v>22</v>
      </c>
      <c r="I47" s="0" t="s">
        <v>819</v>
      </c>
    </row>
    <row customHeight="1" ht="11.25">
      <c r="A48" s="1849" t="s">
        <v>2295</v>
      </c>
      <c r="B48" s="1849" t="s">
        <v>16</v>
      </c>
      <c r="C48" s="0" t="s">
        <v>2462</v>
      </c>
      <c r="D48" s="0" t="s">
        <v>2463</v>
      </c>
      <c r="E48" s="0" t="s">
        <v>2464</v>
      </c>
      <c r="F48" s="0" t="s">
        <v>2299</v>
      </c>
      <c r="G48" s="0" t="s">
        <v>22</v>
      </c>
      <c r="H48" s="0" t="s">
        <v>22</v>
      </c>
      <c r="I48" s="0" t="s">
        <v>819</v>
      </c>
    </row>
    <row customHeight="1" ht="11.25">
      <c r="A49" s="1849" t="s">
        <v>2295</v>
      </c>
      <c r="B49" s="1849" t="s">
        <v>16</v>
      </c>
      <c r="C49" s="0" t="s">
        <v>2465</v>
      </c>
      <c r="D49" s="0" t="s">
        <v>2466</v>
      </c>
      <c r="E49" s="0" t="s">
        <v>2467</v>
      </c>
      <c r="F49" s="0" t="s">
        <v>2440</v>
      </c>
      <c r="G49" s="0" t="s">
        <v>22</v>
      </c>
      <c r="H49" s="0" t="s">
        <v>22</v>
      </c>
      <c r="I49" s="0" t="s">
        <v>819</v>
      </c>
    </row>
    <row customHeight="1" ht="11.25">
      <c r="A50" s="1849" t="s">
        <v>2295</v>
      </c>
      <c r="B50" s="1849" t="s">
        <v>16</v>
      </c>
      <c r="C50" s="0" t="s">
        <v>2468</v>
      </c>
      <c r="D50" s="0" t="s">
        <v>2469</v>
      </c>
      <c r="E50" s="0" t="s">
        <v>2470</v>
      </c>
      <c r="F50" s="0" t="s">
        <v>2373</v>
      </c>
      <c r="G50" s="0" t="s">
        <v>22</v>
      </c>
      <c r="H50" s="0" t="s">
        <v>22</v>
      </c>
      <c r="I50" s="0" t="s">
        <v>819</v>
      </c>
    </row>
    <row customHeight="1" ht="11.25">
      <c r="A51" s="1849" t="s">
        <v>2295</v>
      </c>
      <c r="B51" s="1849" t="s">
        <v>16</v>
      </c>
      <c r="C51" s="0" t="s">
        <v>2471</v>
      </c>
      <c r="D51" s="0" t="s">
        <v>2472</v>
      </c>
      <c r="E51" s="0" t="s">
        <v>2473</v>
      </c>
      <c r="F51" s="0" t="s">
        <v>2299</v>
      </c>
      <c r="G51" s="0" t="s">
        <v>22</v>
      </c>
      <c r="H51" s="0" t="s">
        <v>22</v>
      </c>
      <c r="I51" s="0" t="s">
        <v>819</v>
      </c>
    </row>
    <row customHeight="1" ht="11.25">
      <c r="A52" s="1849" t="s">
        <v>2295</v>
      </c>
      <c r="B52" s="1849" t="s">
        <v>16</v>
      </c>
      <c r="C52" s="0" t="s">
        <v>2474</v>
      </c>
      <c r="D52" s="0" t="s">
        <v>2475</v>
      </c>
      <c r="E52" s="0" t="s">
        <v>2476</v>
      </c>
      <c r="F52" s="0" t="s">
        <v>2354</v>
      </c>
      <c r="G52" s="0" t="s">
        <v>22</v>
      </c>
      <c r="H52" s="0" t="s">
        <v>22</v>
      </c>
      <c r="I52" s="0" t="s">
        <v>819</v>
      </c>
    </row>
    <row customHeight="1" ht="11.25">
      <c r="A53" s="1849" t="s">
        <v>2295</v>
      </c>
      <c r="B53" s="1849" t="s">
        <v>16</v>
      </c>
      <c r="C53" s="0" t="s">
        <v>2477</v>
      </c>
      <c r="D53" s="0" t="s">
        <v>2478</v>
      </c>
      <c r="E53" s="0" t="s">
        <v>2479</v>
      </c>
      <c r="F53" s="0" t="s">
        <v>2480</v>
      </c>
      <c r="G53" s="0" t="s">
        <v>22</v>
      </c>
      <c r="H53" s="0" t="s">
        <v>22</v>
      </c>
      <c r="I53" s="0" t="s">
        <v>819</v>
      </c>
    </row>
    <row customHeight="1" ht="11.25">
      <c r="A54" s="1849" t="s">
        <v>2295</v>
      </c>
      <c r="B54" s="1849" t="s">
        <v>16</v>
      </c>
      <c r="C54" s="0" t="s">
        <v>2481</v>
      </c>
      <c r="D54" s="0" t="s">
        <v>2482</v>
      </c>
      <c r="E54" s="0" t="s">
        <v>2483</v>
      </c>
      <c r="F54" s="0" t="s">
        <v>2318</v>
      </c>
      <c r="G54" s="0" t="s">
        <v>22</v>
      </c>
      <c r="H54" s="0" t="s">
        <v>22</v>
      </c>
      <c r="I54" s="0" t="s">
        <v>819</v>
      </c>
    </row>
    <row customHeight="1" ht="11.25">
      <c r="A55" s="1849" t="s">
        <v>2295</v>
      </c>
      <c r="B55" s="1849" t="s">
        <v>16</v>
      </c>
      <c r="C55" s="0" t="s">
        <v>2484</v>
      </c>
      <c r="D55" s="0" t="s">
        <v>2485</v>
      </c>
      <c r="E55" s="0" t="s">
        <v>2486</v>
      </c>
      <c r="F55" s="0" t="s">
        <v>2299</v>
      </c>
      <c r="G55" s="0" t="s">
        <v>22</v>
      </c>
      <c r="H55" s="0" t="s">
        <v>22</v>
      </c>
      <c r="I55" s="0" t="s">
        <v>819</v>
      </c>
    </row>
    <row customHeight="1" ht="11.25">
      <c r="A56" s="1849" t="s">
        <v>2295</v>
      </c>
      <c r="B56" s="1849" t="s">
        <v>16</v>
      </c>
      <c r="C56" s="0" t="s">
        <v>2487</v>
      </c>
      <c r="D56" s="0" t="s">
        <v>2488</v>
      </c>
      <c r="E56" s="0" t="s">
        <v>2489</v>
      </c>
      <c r="F56" s="0" t="s">
        <v>2307</v>
      </c>
      <c r="G56" s="0" t="s">
        <v>22</v>
      </c>
      <c r="H56" s="0" t="s">
        <v>22</v>
      </c>
      <c r="I56" s="0" t="s">
        <v>819</v>
      </c>
    </row>
    <row customHeight="1" ht="11.25">
      <c r="A57" s="1849" t="s">
        <v>2295</v>
      </c>
      <c r="B57" s="1849" t="s">
        <v>16</v>
      </c>
      <c r="C57" s="0" t="s">
        <v>2490</v>
      </c>
      <c r="D57" s="0" t="s">
        <v>2491</v>
      </c>
      <c r="E57" s="0" t="s">
        <v>2492</v>
      </c>
      <c r="F57" s="0" t="s">
        <v>2299</v>
      </c>
      <c r="G57" s="0" t="s">
        <v>2493</v>
      </c>
      <c r="H57" s="0" t="s">
        <v>22</v>
      </c>
      <c r="I57" s="0" t="s">
        <v>819</v>
      </c>
    </row>
    <row customHeight="1" ht="11.25">
      <c r="A58" s="1849" t="s">
        <v>2295</v>
      </c>
      <c r="B58" s="1849" t="s">
        <v>16</v>
      </c>
      <c r="C58" s="0" t="s">
        <v>2494</v>
      </c>
      <c r="D58" s="0" t="s">
        <v>2495</v>
      </c>
      <c r="E58" s="0" t="s">
        <v>2496</v>
      </c>
      <c r="F58" s="0" t="s">
        <v>2307</v>
      </c>
      <c r="G58" s="0" t="s">
        <v>22</v>
      </c>
      <c r="H58" s="0" t="s">
        <v>22</v>
      </c>
      <c r="I58" s="0" t="s">
        <v>819</v>
      </c>
    </row>
    <row customHeight="1" ht="11.25">
      <c r="A59" s="1849" t="s">
        <v>2295</v>
      </c>
      <c r="B59" s="1849" t="s">
        <v>16</v>
      </c>
      <c r="C59" s="0" t="s">
        <v>2497</v>
      </c>
      <c r="D59" s="0" t="s">
        <v>2498</v>
      </c>
      <c r="E59" s="0" t="s">
        <v>2499</v>
      </c>
      <c r="F59" s="0" t="s">
        <v>2307</v>
      </c>
      <c r="G59" s="0" t="s">
        <v>22</v>
      </c>
      <c r="H59" s="0" t="s">
        <v>22</v>
      </c>
      <c r="I59" s="0" t="s">
        <v>819</v>
      </c>
    </row>
    <row customHeight="1" ht="11.25">
      <c r="A60" s="1849" t="s">
        <v>2295</v>
      </c>
      <c r="B60" s="1849" t="s">
        <v>16</v>
      </c>
      <c r="C60" s="0" t="s">
        <v>2500</v>
      </c>
      <c r="D60" s="0" t="s">
        <v>2501</v>
      </c>
      <c r="E60" s="0" t="s">
        <v>2502</v>
      </c>
      <c r="F60" s="0" t="s">
        <v>2299</v>
      </c>
      <c r="G60" s="0" t="s">
        <v>2503</v>
      </c>
      <c r="H60" s="0" t="s">
        <v>22</v>
      </c>
      <c r="I60" s="0" t="s">
        <v>819</v>
      </c>
    </row>
    <row customHeight="1" ht="11.25">
      <c r="A61" s="1849" t="s">
        <v>2295</v>
      </c>
      <c r="B61" s="1849" t="s">
        <v>16</v>
      </c>
      <c r="C61" s="0" t="s">
        <v>2504</v>
      </c>
      <c r="D61" s="0" t="s">
        <v>2505</v>
      </c>
      <c r="E61" s="0" t="s">
        <v>2506</v>
      </c>
      <c r="F61" s="0" t="s">
        <v>2384</v>
      </c>
      <c r="G61" s="0" t="s">
        <v>22</v>
      </c>
      <c r="H61" s="0" t="s">
        <v>22</v>
      </c>
      <c r="I61" s="0" t="s">
        <v>819</v>
      </c>
    </row>
    <row customHeight="1" ht="11.25">
      <c r="A62" s="1849" t="s">
        <v>2295</v>
      </c>
      <c r="B62" s="1849" t="s">
        <v>16</v>
      </c>
      <c r="C62" s="0" t="s">
        <v>2507</v>
      </c>
      <c r="D62" s="0" t="s">
        <v>2508</v>
      </c>
      <c r="E62" s="0" t="s">
        <v>2509</v>
      </c>
      <c r="F62" s="0" t="s">
        <v>2307</v>
      </c>
      <c r="G62" s="0" t="s">
        <v>22</v>
      </c>
      <c r="H62" s="0" t="s">
        <v>22</v>
      </c>
      <c r="I62" s="0" t="s">
        <v>819</v>
      </c>
    </row>
    <row customHeight="1" ht="11.25">
      <c r="A63" s="1849" t="s">
        <v>2295</v>
      </c>
      <c r="B63" s="1849" t="s">
        <v>16</v>
      </c>
      <c r="C63" s="0" t="s">
        <v>2510</v>
      </c>
      <c r="D63" s="0" t="s">
        <v>2511</v>
      </c>
      <c r="E63" s="0" t="s">
        <v>2512</v>
      </c>
      <c r="F63" s="0" t="s">
        <v>2396</v>
      </c>
      <c r="G63" s="0" t="s">
        <v>22</v>
      </c>
      <c r="H63" s="0" t="s">
        <v>22</v>
      </c>
      <c r="I63" s="0" t="s">
        <v>819</v>
      </c>
    </row>
    <row customHeight="1" ht="11.25">
      <c r="A64" s="1849" t="s">
        <v>2295</v>
      </c>
      <c r="B64" s="1849" t="s">
        <v>16</v>
      </c>
      <c r="C64" s="0" t="s">
        <v>2513</v>
      </c>
      <c r="D64" s="0" t="s">
        <v>2514</v>
      </c>
      <c r="E64" s="0" t="s">
        <v>2515</v>
      </c>
      <c r="F64" s="0" t="s">
        <v>2416</v>
      </c>
      <c r="G64" s="0" t="s">
        <v>2516</v>
      </c>
      <c r="H64" s="0" t="s">
        <v>22</v>
      </c>
      <c r="I64" s="0" t="s">
        <v>819</v>
      </c>
    </row>
    <row customHeight="1" ht="11.25">
      <c r="A65" s="1849" t="s">
        <v>2295</v>
      </c>
      <c r="B65" s="1849" t="s">
        <v>16</v>
      </c>
      <c r="C65" s="0" t="s">
        <v>2517</v>
      </c>
      <c r="D65" s="0" t="s">
        <v>2518</v>
      </c>
      <c r="E65" s="0" t="s">
        <v>2519</v>
      </c>
      <c r="F65" s="0" t="s">
        <v>2299</v>
      </c>
      <c r="G65" s="0" t="s">
        <v>22</v>
      </c>
      <c r="H65" s="0" t="s">
        <v>22</v>
      </c>
      <c r="I65" s="0" t="s">
        <v>819</v>
      </c>
    </row>
    <row customHeight="1" ht="11.25">
      <c r="A66" s="1849" t="s">
        <v>2295</v>
      </c>
      <c r="B66" s="1849" t="s">
        <v>16</v>
      </c>
      <c r="C66" s="0" t="s">
        <v>2520</v>
      </c>
      <c r="D66" s="0" t="s">
        <v>2521</v>
      </c>
      <c r="E66" s="0" t="s">
        <v>2522</v>
      </c>
      <c r="F66" s="0" t="s">
        <v>2358</v>
      </c>
      <c r="G66" s="0" t="s">
        <v>22</v>
      </c>
      <c r="H66" s="0" t="s">
        <v>22</v>
      </c>
      <c r="I66" s="0" t="s">
        <v>819</v>
      </c>
    </row>
    <row customHeight="1" ht="11.25">
      <c r="A67" s="1849" t="s">
        <v>2295</v>
      </c>
      <c r="B67" s="1849" t="s">
        <v>16</v>
      </c>
      <c r="C67" s="0" t="s">
        <v>2523</v>
      </c>
      <c r="D67" s="0" t="s">
        <v>2524</v>
      </c>
      <c r="E67" s="0" t="s">
        <v>2525</v>
      </c>
      <c r="F67" s="0" t="s">
        <v>2299</v>
      </c>
      <c r="G67" s="0" t="s">
        <v>2526</v>
      </c>
      <c r="H67" s="0" t="s">
        <v>22</v>
      </c>
      <c r="I67" s="0" t="s">
        <v>819</v>
      </c>
    </row>
    <row customHeight="1" ht="11.25">
      <c r="A68" s="1849" t="s">
        <v>2295</v>
      </c>
      <c r="B68" s="1849" t="s">
        <v>16</v>
      </c>
      <c r="C68" s="0" t="s">
        <v>2527</v>
      </c>
      <c r="D68" s="0" t="s">
        <v>2528</v>
      </c>
      <c r="E68" s="0" t="s">
        <v>2529</v>
      </c>
      <c r="F68" s="0" t="s">
        <v>2384</v>
      </c>
      <c r="G68" s="0" t="s">
        <v>22</v>
      </c>
      <c r="H68" s="0" t="s">
        <v>22</v>
      </c>
      <c r="I68" s="0" t="s">
        <v>819</v>
      </c>
    </row>
    <row customHeight="1" ht="11.25">
      <c r="A69" s="1849" t="s">
        <v>2295</v>
      </c>
      <c r="B69" s="1849" t="s">
        <v>16</v>
      </c>
      <c r="C69" s="0" t="s">
        <v>2530</v>
      </c>
      <c r="D69" s="0" t="s">
        <v>2531</v>
      </c>
      <c r="E69" s="0" t="s">
        <v>2532</v>
      </c>
      <c r="F69" s="0" t="s">
        <v>2299</v>
      </c>
      <c r="G69" s="0" t="s">
        <v>2533</v>
      </c>
      <c r="H69" s="0" t="s">
        <v>22</v>
      </c>
      <c r="I69" s="0" t="s">
        <v>819</v>
      </c>
    </row>
    <row customHeight="1" ht="11.25">
      <c r="A70" s="1849" t="s">
        <v>2295</v>
      </c>
      <c r="B70" s="1849" t="s">
        <v>16</v>
      </c>
      <c r="C70" s="0" t="s">
        <v>2534</v>
      </c>
      <c r="D70" s="0" t="s">
        <v>2535</v>
      </c>
      <c r="E70" s="0" t="s">
        <v>2536</v>
      </c>
      <c r="F70" s="0" t="s">
        <v>2445</v>
      </c>
      <c r="G70" s="0" t="s">
        <v>22</v>
      </c>
      <c r="H70" s="0" t="s">
        <v>22</v>
      </c>
      <c r="I70" s="0" t="s">
        <v>819</v>
      </c>
    </row>
    <row customHeight="1" ht="11.25">
      <c r="A71" s="1849" t="s">
        <v>2295</v>
      </c>
      <c r="B71" s="1849" t="s">
        <v>16</v>
      </c>
      <c r="C71" s="0" t="s">
        <v>2537</v>
      </c>
      <c r="D71" s="0" t="s">
        <v>2538</v>
      </c>
      <c r="E71" s="0" t="s">
        <v>2539</v>
      </c>
      <c r="F71" s="0" t="s">
        <v>2396</v>
      </c>
      <c r="G71" s="0" t="s">
        <v>2540</v>
      </c>
      <c r="H71" s="0" t="s">
        <v>22</v>
      </c>
      <c r="I71" s="0" t="s">
        <v>819</v>
      </c>
    </row>
    <row customHeight="1" ht="11.25">
      <c r="A72" s="1849" t="s">
        <v>2295</v>
      </c>
      <c r="B72" s="1849" t="s">
        <v>16</v>
      </c>
      <c r="C72" s="0" t="s">
        <v>2541</v>
      </c>
      <c r="D72" s="0" t="s">
        <v>2542</v>
      </c>
      <c r="E72" s="0" t="s">
        <v>2543</v>
      </c>
      <c r="F72" s="0" t="s">
        <v>2396</v>
      </c>
      <c r="G72" s="0" t="s">
        <v>2544</v>
      </c>
      <c r="H72" s="0" t="s">
        <v>22</v>
      </c>
      <c r="I72" s="0" t="s">
        <v>819</v>
      </c>
    </row>
    <row customHeight="1" ht="11.25">
      <c r="A73" s="1849" t="s">
        <v>2295</v>
      </c>
      <c r="B73" s="1849" t="s">
        <v>16</v>
      </c>
      <c r="C73" s="0" t="s">
        <v>2545</v>
      </c>
      <c r="D73" s="0" t="s">
        <v>2546</v>
      </c>
      <c r="E73" s="0" t="s">
        <v>2547</v>
      </c>
      <c r="F73" s="0" t="s">
        <v>2358</v>
      </c>
      <c r="G73" s="0" t="s">
        <v>2548</v>
      </c>
      <c r="H73" s="0" t="s">
        <v>22</v>
      </c>
      <c r="I73" s="0" t="s">
        <v>819</v>
      </c>
    </row>
    <row customHeight="1" ht="11.25">
      <c r="A74" s="1849" t="s">
        <v>2295</v>
      </c>
      <c r="B74" s="1849" t="s">
        <v>16</v>
      </c>
      <c r="C74" s="0" t="s">
        <v>2549</v>
      </c>
      <c r="D74" s="0" t="s">
        <v>2550</v>
      </c>
      <c r="E74" s="0" t="s">
        <v>2551</v>
      </c>
      <c r="F74" s="0" t="s">
        <v>2299</v>
      </c>
      <c r="G74" s="0" t="s">
        <v>22</v>
      </c>
      <c r="H74" s="0" t="s">
        <v>22</v>
      </c>
      <c r="I74" s="0" t="s">
        <v>819</v>
      </c>
    </row>
    <row customHeight="1" ht="11.25">
      <c r="A75" s="1849" t="s">
        <v>2295</v>
      </c>
      <c r="B75" s="1849" t="s">
        <v>16</v>
      </c>
      <c r="C75" s="0" t="s">
        <v>2552</v>
      </c>
      <c r="D75" s="0" t="s">
        <v>2553</v>
      </c>
      <c r="E75" s="0" t="s">
        <v>2554</v>
      </c>
      <c r="F75" s="0" t="s">
        <v>2384</v>
      </c>
      <c r="G75" s="0" t="s">
        <v>22</v>
      </c>
      <c r="H75" s="0" t="s">
        <v>22</v>
      </c>
      <c r="I75" s="0" t="s">
        <v>819</v>
      </c>
    </row>
    <row customHeight="1" ht="11.25">
      <c r="A76" s="1849" t="s">
        <v>2295</v>
      </c>
      <c r="B76" s="1849" t="s">
        <v>16</v>
      </c>
      <c r="C76" s="0" t="s">
        <v>2555</v>
      </c>
      <c r="D76" s="0" t="s">
        <v>2556</v>
      </c>
      <c r="E76" s="0" t="s">
        <v>2557</v>
      </c>
      <c r="F76" s="0" t="s">
        <v>2299</v>
      </c>
      <c r="G76" s="0" t="s">
        <v>22</v>
      </c>
      <c r="H76" s="0" t="s">
        <v>22</v>
      </c>
      <c r="I76" s="0" t="s">
        <v>819</v>
      </c>
    </row>
    <row customHeight="1" ht="11.25">
      <c r="A77" s="1849" t="s">
        <v>2295</v>
      </c>
      <c r="B77" s="1849" t="s">
        <v>16</v>
      </c>
      <c r="C77" s="0" t="s">
        <v>22</v>
      </c>
      <c r="D77" s="0" t="s">
        <v>2558</v>
      </c>
      <c r="E77" s="0" t="s">
        <v>2559</v>
      </c>
      <c r="F77" s="0" t="s">
        <v>2299</v>
      </c>
      <c r="G77" s="0" t="s">
        <v>22</v>
      </c>
      <c r="H77" s="0" t="s">
        <v>22</v>
      </c>
      <c r="I77" s="0" t="s">
        <v>819</v>
      </c>
    </row>
    <row customHeight="1" ht="11.25">
      <c r="A78" s="1849" t="s">
        <v>2295</v>
      </c>
      <c r="B78" s="1849" t="s">
        <v>16</v>
      </c>
      <c r="C78" s="0" t="s">
        <v>2560</v>
      </c>
      <c r="D78" s="0" t="s">
        <v>2561</v>
      </c>
      <c r="E78" s="0" t="s">
        <v>2562</v>
      </c>
      <c r="F78" s="0" t="s">
        <v>2373</v>
      </c>
      <c r="G78" s="0" t="s">
        <v>22</v>
      </c>
      <c r="H78" s="0" t="s">
        <v>22</v>
      </c>
      <c r="I78" s="0" t="s">
        <v>819</v>
      </c>
    </row>
    <row customHeight="1" ht="11.25">
      <c r="A79" s="1849" t="s">
        <v>2295</v>
      </c>
      <c r="B79" s="1849" t="s">
        <v>16</v>
      </c>
      <c r="C79" s="0" t="s">
        <v>2563</v>
      </c>
      <c r="D79" s="0" t="s">
        <v>2564</v>
      </c>
      <c r="E79" s="0" t="s">
        <v>2565</v>
      </c>
      <c r="F79" s="0" t="s">
        <v>2566</v>
      </c>
      <c r="G79" s="0" t="s">
        <v>22</v>
      </c>
      <c r="H79" s="0" t="s">
        <v>22</v>
      </c>
      <c r="I79" s="0" t="s">
        <v>819</v>
      </c>
    </row>
    <row customHeight="1" ht="11.25">
      <c r="A80" s="1849" t="s">
        <v>2295</v>
      </c>
      <c r="B80" s="1849" t="s">
        <v>16</v>
      </c>
      <c r="C80" s="0" t="s">
        <v>2567</v>
      </c>
      <c r="D80" s="0" t="s">
        <v>2568</v>
      </c>
      <c r="E80" s="0" t="s">
        <v>2565</v>
      </c>
      <c r="F80" s="0" t="s">
        <v>2569</v>
      </c>
      <c r="G80" s="0" t="s">
        <v>2570</v>
      </c>
      <c r="H80" s="0" t="s">
        <v>22</v>
      </c>
      <c r="I80" s="0" t="s">
        <v>819</v>
      </c>
    </row>
    <row customHeight="1" ht="11.25">
      <c r="A81" s="1849" t="s">
        <v>2295</v>
      </c>
      <c r="B81" s="1849" t="s">
        <v>16</v>
      </c>
      <c r="C81" s="0" t="s">
        <v>2571</v>
      </c>
      <c r="D81" s="0" t="s">
        <v>2572</v>
      </c>
      <c r="E81" s="0" t="s">
        <v>2573</v>
      </c>
      <c r="F81" s="0" t="s">
        <v>2574</v>
      </c>
      <c r="G81" s="0" t="s">
        <v>22</v>
      </c>
      <c r="H81" s="0" t="s">
        <v>22</v>
      </c>
      <c r="I81" s="0" t="s">
        <v>819</v>
      </c>
    </row>
    <row customHeight="1" ht="11.25">
      <c r="A82" s="1849" t="s">
        <v>2295</v>
      </c>
      <c r="B82" s="1849" t="s">
        <v>16</v>
      </c>
      <c r="C82" s="0" t="s">
        <v>2575</v>
      </c>
      <c r="D82" s="0" t="s">
        <v>2576</v>
      </c>
      <c r="E82" s="0" t="s">
        <v>2573</v>
      </c>
      <c r="F82" s="0" t="s">
        <v>2577</v>
      </c>
      <c r="G82" s="0" t="s">
        <v>22</v>
      </c>
      <c r="H82" s="0" t="s">
        <v>22</v>
      </c>
      <c r="I82" s="0" t="s">
        <v>819</v>
      </c>
    </row>
    <row customHeight="1" ht="11.25">
      <c r="A83" s="1849" t="s">
        <v>2295</v>
      </c>
      <c r="B83" s="1849" t="s">
        <v>16</v>
      </c>
      <c r="C83" s="0" t="s">
        <v>2578</v>
      </c>
      <c r="D83" s="0" t="s">
        <v>2579</v>
      </c>
      <c r="E83" s="0" t="s">
        <v>2580</v>
      </c>
      <c r="F83" s="0" t="s">
        <v>2581</v>
      </c>
      <c r="G83" s="0" t="s">
        <v>22</v>
      </c>
      <c r="H83" s="0" t="s">
        <v>22</v>
      </c>
      <c r="I83" s="0" t="s">
        <v>819</v>
      </c>
    </row>
    <row customHeight="1" ht="11.25">
      <c r="A84" s="1849" t="s">
        <v>2295</v>
      </c>
      <c r="B84" s="1849" t="s">
        <v>16</v>
      </c>
      <c r="C84" s="0" t="s">
        <v>2296</v>
      </c>
      <c r="D84" s="0" t="s">
        <v>2297</v>
      </c>
      <c r="E84" s="0" t="s">
        <v>2298</v>
      </c>
      <c r="F84" s="0" t="s">
        <v>2299</v>
      </c>
      <c r="G84" s="0" t="s">
        <v>22</v>
      </c>
      <c r="H84" s="0" t="s">
        <v>22</v>
      </c>
      <c r="I84" s="0" t="s">
        <v>905</v>
      </c>
    </row>
    <row customHeight="1" ht="11.25">
      <c r="A85" s="1849" t="s">
        <v>2295</v>
      </c>
      <c r="B85" s="1849" t="s">
        <v>16</v>
      </c>
      <c r="C85" s="0" t="s">
        <v>2300</v>
      </c>
      <c r="D85" s="0" t="s">
        <v>2301</v>
      </c>
      <c r="E85" s="0" t="s">
        <v>2302</v>
      </c>
      <c r="F85" s="0" t="s">
        <v>2303</v>
      </c>
      <c r="G85" s="0" t="s">
        <v>22</v>
      </c>
      <c r="H85" s="0" t="s">
        <v>22</v>
      </c>
      <c r="I85" s="0" t="s">
        <v>905</v>
      </c>
    </row>
    <row customHeight="1" ht="11.25">
      <c r="A86" s="1849" t="s">
        <v>2295</v>
      </c>
      <c r="B86" s="1849" t="s">
        <v>16</v>
      </c>
      <c r="C86" s="0" t="s">
        <v>2323</v>
      </c>
      <c r="D86" s="0" t="s">
        <v>2324</v>
      </c>
      <c r="E86" s="0" t="s">
        <v>2325</v>
      </c>
      <c r="F86" s="0" t="s">
        <v>2299</v>
      </c>
      <c r="G86" s="0" t="s">
        <v>22</v>
      </c>
      <c r="H86" s="0" t="s">
        <v>22</v>
      </c>
      <c r="I86" s="0" t="s">
        <v>905</v>
      </c>
    </row>
    <row customHeight="1" ht="11.25">
      <c r="A87" s="1849" t="s">
        <v>2295</v>
      </c>
      <c r="B87" s="1849" t="s">
        <v>16</v>
      </c>
      <c r="C87" s="0" t="s">
        <v>2344</v>
      </c>
      <c r="D87" s="0" t="s">
        <v>2345</v>
      </c>
      <c r="E87" s="0" t="s">
        <v>2346</v>
      </c>
      <c r="F87" s="0" t="s">
        <v>2340</v>
      </c>
      <c r="G87" s="0" t="s">
        <v>22</v>
      </c>
      <c r="H87" s="0" t="s">
        <v>22</v>
      </c>
      <c r="I87" s="0" t="s">
        <v>905</v>
      </c>
    </row>
    <row customHeight="1" ht="11.25">
      <c r="A88" s="1849" t="s">
        <v>2295</v>
      </c>
      <c r="B88" s="1849" t="s">
        <v>16</v>
      </c>
      <c r="C88" s="0" t="s">
        <v>2347</v>
      </c>
      <c r="D88" s="0" t="s">
        <v>2348</v>
      </c>
      <c r="E88" s="0" t="s">
        <v>2349</v>
      </c>
      <c r="F88" s="0" t="s">
        <v>2350</v>
      </c>
      <c r="G88" s="0" t="s">
        <v>22</v>
      </c>
      <c r="H88" s="0" t="s">
        <v>22</v>
      </c>
      <c r="I88" s="0" t="s">
        <v>905</v>
      </c>
    </row>
    <row customHeight="1" ht="11.25">
      <c r="A89" s="1849" t="s">
        <v>2295</v>
      </c>
      <c r="B89" s="1849" t="s">
        <v>16</v>
      </c>
      <c r="C89" s="0" t="s">
        <v>2359</v>
      </c>
      <c r="D89" s="0" t="s">
        <v>2360</v>
      </c>
      <c r="E89" s="0" t="s">
        <v>2361</v>
      </c>
      <c r="F89" s="0" t="s">
        <v>2299</v>
      </c>
      <c r="G89" s="0" t="s">
        <v>22</v>
      </c>
      <c r="H89" s="0" t="s">
        <v>22</v>
      </c>
      <c r="I89" s="0" t="s">
        <v>905</v>
      </c>
    </row>
    <row customHeight="1" ht="11.25">
      <c r="A90" s="1849" t="s">
        <v>2295</v>
      </c>
      <c r="B90" s="1849" t="s">
        <v>16</v>
      </c>
      <c r="C90" s="0" t="s">
        <v>2362</v>
      </c>
      <c r="D90" s="0" t="s">
        <v>2363</v>
      </c>
      <c r="E90" s="0" t="s">
        <v>2364</v>
      </c>
      <c r="F90" s="0" t="s">
        <v>2365</v>
      </c>
      <c r="G90" s="0" t="s">
        <v>2366</v>
      </c>
      <c r="H90" s="0" t="s">
        <v>22</v>
      </c>
      <c r="I90" s="0" t="s">
        <v>905</v>
      </c>
    </row>
    <row customHeight="1" ht="11.25">
      <c r="A91" s="1849" t="s">
        <v>2295</v>
      </c>
      <c r="B91" s="1849" t="s">
        <v>16</v>
      </c>
      <c r="C91" s="0" t="s">
        <v>2367</v>
      </c>
      <c r="D91" s="0" t="s">
        <v>2368</v>
      </c>
      <c r="E91" s="0" t="s">
        <v>2369</v>
      </c>
      <c r="F91" s="0" t="s">
        <v>2322</v>
      </c>
      <c r="G91" s="0" t="s">
        <v>22</v>
      </c>
      <c r="H91" s="0" t="s">
        <v>22</v>
      </c>
      <c r="I91" s="0" t="s">
        <v>905</v>
      </c>
    </row>
    <row customHeight="1" ht="11.25">
      <c r="A92" s="1849" t="s">
        <v>2295</v>
      </c>
      <c r="B92" s="1849" t="s">
        <v>16</v>
      </c>
      <c r="C92" s="0" t="s">
        <v>2375</v>
      </c>
      <c r="D92" s="0" t="s">
        <v>2376</v>
      </c>
      <c r="E92" s="0" t="s">
        <v>2377</v>
      </c>
      <c r="F92" s="0" t="s">
        <v>2318</v>
      </c>
      <c r="G92" s="0" t="s">
        <v>22</v>
      </c>
      <c r="H92" s="0" t="s">
        <v>22</v>
      </c>
      <c r="I92" s="0" t="s">
        <v>905</v>
      </c>
    </row>
    <row customHeight="1" ht="11.25">
      <c r="A93" s="1849" t="s">
        <v>2295</v>
      </c>
      <c r="B93" s="1849" t="s">
        <v>16</v>
      </c>
      <c r="C93" s="0" t="s">
        <v>2397</v>
      </c>
      <c r="D93" s="0" t="s">
        <v>2398</v>
      </c>
      <c r="E93" s="0" t="s">
        <v>2399</v>
      </c>
      <c r="F93" s="0" t="s">
        <v>2373</v>
      </c>
      <c r="G93" s="0" t="s">
        <v>2400</v>
      </c>
      <c r="H93" s="0" t="s">
        <v>22</v>
      </c>
      <c r="I93" s="0" t="s">
        <v>905</v>
      </c>
    </row>
    <row customHeight="1" ht="11.25">
      <c r="A94" s="1849" t="s">
        <v>2295</v>
      </c>
      <c r="B94" s="1849" t="s">
        <v>16</v>
      </c>
      <c r="C94" s="0" t="s">
        <v>2405</v>
      </c>
      <c r="D94" s="0" t="s">
        <v>2406</v>
      </c>
      <c r="E94" s="0" t="s">
        <v>2407</v>
      </c>
      <c r="F94" s="0" t="s">
        <v>2384</v>
      </c>
      <c r="G94" s="0" t="s">
        <v>2408</v>
      </c>
      <c r="H94" s="0" t="s">
        <v>22</v>
      </c>
      <c r="I94" s="0" t="s">
        <v>905</v>
      </c>
    </row>
    <row customHeight="1" ht="11.25">
      <c r="A95" s="1849" t="s">
        <v>2295</v>
      </c>
      <c r="B95" s="1849" t="s">
        <v>16</v>
      </c>
      <c r="C95" s="0" t="s">
        <v>2420</v>
      </c>
      <c r="D95" s="0" t="s">
        <v>2421</v>
      </c>
      <c r="E95" s="0" t="s">
        <v>2422</v>
      </c>
      <c r="F95" s="0" t="s">
        <v>2423</v>
      </c>
      <c r="G95" s="0" t="s">
        <v>22</v>
      </c>
      <c r="H95" s="0" t="s">
        <v>22</v>
      </c>
      <c r="I95" s="0" t="s">
        <v>905</v>
      </c>
    </row>
    <row customHeight="1" ht="11.25">
      <c r="A96" s="1849" t="s">
        <v>2295</v>
      </c>
      <c r="B96" s="1849" t="s">
        <v>16</v>
      </c>
      <c r="C96" s="0" t="s">
        <v>2433</v>
      </c>
      <c r="D96" s="0" t="s">
        <v>2434</v>
      </c>
      <c r="E96" s="0" t="s">
        <v>2435</v>
      </c>
      <c r="F96" s="0" t="s">
        <v>2384</v>
      </c>
      <c r="G96" s="0" t="s">
        <v>2436</v>
      </c>
      <c r="H96" s="0" t="s">
        <v>22</v>
      </c>
      <c r="I96" s="0" t="s">
        <v>905</v>
      </c>
    </row>
    <row customHeight="1" ht="11.25">
      <c r="A97" s="1849" t="s">
        <v>2295</v>
      </c>
      <c r="B97" s="1849" t="s">
        <v>16</v>
      </c>
      <c r="C97" s="0" t="s">
        <v>2459</v>
      </c>
      <c r="D97" s="0" t="s">
        <v>2460</v>
      </c>
      <c r="E97" s="0" t="s">
        <v>2461</v>
      </c>
      <c r="F97" s="0" t="s">
        <v>2318</v>
      </c>
      <c r="G97" s="0" t="s">
        <v>22</v>
      </c>
      <c r="H97" s="0" t="s">
        <v>22</v>
      </c>
      <c r="I97" s="0" t="s">
        <v>905</v>
      </c>
    </row>
    <row customHeight="1" ht="11.25">
      <c r="A98" s="1849" t="s">
        <v>2295</v>
      </c>
      <c r="B98" s="1849" t="s">
        <v>16</v>
      </c>
      <c r="C98" s="0" t="s">
        <v>2490</v>
      </c>
      <c r="D98" s="0" t="s">
        <v>2491</v>
      </c>
      <c r="E98" s="0" t="s">
        <v>2492</v>
      </c>
      <c r="F98" s="0" t="s">
        <v>2299</v>
      </c>
      <c r="G98" s="0" t="s">
        <v>2493</v>
      </c>
      <c r="H98" s="0" t="s">
        <v>22</v>
      </c>
      <c r="I98" s="0" t="s">
        <v>905</v>
      </c>
    </row>
    <row customHeight="1" ht="11.25">
      <c r="A99" s="1849" t="s">
        <v>2295</v>
      </c>
      <c r="B99" s="1849" t="s">
        <v>16</v>
      </c>
      <c r="C99" s="0" t="s">
        <v>2500</v>
      </c>
      <c r="D99" s="0" t="s">
        <v>2501</v>
      </c>
      <c r="E99" s="0" t="s">
        <v>2502</v>
      </c>
      <c r="F99" s="0" t="s">
        <v>2299</v>
      </c>
      <c r="G99" s="0" t="s">
        <v>2503</v>
      </c>
      <c r="H99" s="0" t="s">
        <v>22</v>
      </c>
      <c r="I99" s="0" t="s">
        <v>905</v>
      </c>
    </row>
    <row customHeight="1" ht="11.25">
      <c r="A100" s="1849" t="s">
        <v>2295</v>
      </c>
      <c r="B100" s="1849" t="s">
        <v>16</v>
      </c>
      <c r="C100" s="0" t="s">
        <v>2527</v>
      </c>
      <c r="D100" s="0" t="s">
        <v>2528</v>
      </c>
      <c r="E100" s="0" t="s">
        <v>2529</v>
      </c>
      <c r="F100" s="0" t="s">
        <v>2384</v>
      </c>
      <c r="G100" s="0" t="s">
        <v>22</v>
      </c>
      <c r="H100" s="0" t="s">
        <v>22</v>
      </c>
      <c r="I100" s="0" t="s">
        <v>905</v>
      </c>
    </row>
    <row customHeight="1" ht="11.25">
      <c r="A101" s="1849" t="s">
        <v>2295</v>
      </c>
      <c r="B101" s="1849" t="s">
        <v>16</v>
      </c>
      <c r="C101" s="0" t="s">
        <v>2530</v>
      </c>
      <c r="D101" s="0" t="s">
        <v>2531</v>
      </c>
      <c r="E101" s="0" t="s">
        <v>2532</v>
      </c>
      <c r="F101" s="0" t="s">
        <v>2299</v>
      </c>
      <c r="G101" s="0" t="s">
        <v>2533</v>
      </c>
      <c r="H101" s="0" t="s">
        <v>22</v>
      </c>
      <c r="I101" s="0" t="s">
        <v>905</v>
      </c>
    </row>
    <row customHeight="1" ht="11.25">
      <c r="A102" s="1849" t="s">
        <v>2295</v>
      </c>
      <c r="B102" s="1849" t="s">
        <v>16</v>
      </c>
      <c r="C102" s="0" t="s">
        <v>22</v>
      </c>
      <c r="D102" s="0" t="s">
        <v>2558</v>
      </c>
      <c r="E102" s="0" t="s">
        <v>2559</v>
      </c>
      <c r="F102" s="0" t="s">
        <v>2299</v>
      </c>
      <c r="G102" s="0" t="s">
        <v>22</v>
      </c>
      <c r="H102" s="0" t="s">
        <v>22</v>
      </c>
      <c r="I102" s="0" t="s">
        <v>905</v>
      </c>
    </row>
    <row customHeight="1" ht="11.25">
      <c r="A103" s="1849" t="s">
        <v>2295</v>
      </c>
      <c r="B103" s="1849" t="s">
        <v>16</v>
      </c>
      <c r="C103" s="0" t="s">
        <v>2563</v>
      </c>
      <c r="D103" s="0" t="s">
        <v>2564</v>
      </c>
      <c r="E103" s="0" t="s">
        <v>2565</v>
      </c>
      <c r="F103" s="0" t="s">
        <v>2566</v>
      </c>
      <c r="G103" s="0" t="s">
        <v>22</v>
      </c>
      <c r="H103" s="0" t="s">
        <v>22</v>
      </c>
      <c r="I103" s="0" t="s">
        <v>905</v>
      </c>
    </row>
    <row customHeight="1" ht="11.25">
      <c r="A104" s="1849" t="s">
        <v>2295</v>
      </c>
      <c r="B104" s="1849" t="s">
        <v>16</v>
      </c>
      <c r="C104" s="0" t="s">
        <v>2567</v>
      </c>
      <c r="D104" s="0" t="s">
        <v>2568</v>
      </c>
      <c r="E104" s="0" t="s">
        <v>2565</v>
      </c>
      <c r="F104" s="0" t="s">
        <v>2569</v>
      </c>
      <c r="G104" s="0" t="s">
        <v>2570</v>
      </c>
      <c r="H104" s="0" t="s">
        <v>22</v>
      </c>
      <c r="I104" s="0" t="s">
        <v>905</v>
      </c>
    </row>
    <row customHeight="1" ht="11.25">
      <c r="A105" s="1849" t="s">
        <v>2295</v>
      </c>
      <c r="B105" s="1849" t="s">
        <v>16</v>
      </c>
      <c r="C105" s="0" t="s">
        <v>2578</v>
      </c>
      <c r="D105" s="0" t="s">
        <v>2579</v>
      </c>
      <c r="E105" s="0" t="s">
        <v>2580</v>
      </c>
      <c r="F105" s="0" t="s">
        <v>2581</v>
      </c>
      <c r="G105" s="0" t="s">
        <v>22</v>
      </c>
      <c r="H105" s="0" t="s">
        <v>22</v>
      </c>
      <c r="I105" s="0" t="s">
        <v>905</v>
      </c>
    </row>
    <row customHeight="1" ht="11.25">
      <c r="A106" s="1849" t="s">
        <v>2295</v>
      </c>
      <c r="B106" s="1849" t="s">
        <v>16</v>
      </c>
      <c r="C106" s="0" t="s">
        <v>2296</v>
      </c>
      <c r="D106" s="0" t="s">
        <v>2297</v>
      </c>
      <c r="E106" s="0" t="s">
        <v>2298</v>
      </c>
      <c r="F106" s="0" t="s">
        <v>2299</v>
      </c>
      <c r="G106" s="0" t="s">
        <v>22</v>
      </c>
      <c r="H106" s="0" t="s">
        <v>22</v>
      </c>
      <c r="I106" s="0" t="s">
        <v>865</v>
      </c>
    </row>
    <row customHeight="1" ht="11.25">
      <c r="A107" s="1849" t="s">
        <v>2295</v>
      </c>
      <c r="B107" s="1849" t="s">
        <v>16</v>
      </c>
      <c r="C107" s="0" t="s">
        <v>2300</v>
      </c>
      <c r="D107" s="0" t="s">
        <v>2301</v>
      </c>
      <c r="E107" s="0" t="s">
        <v>2302</v>
      </c>
      <c r="F107" s="0" t="s">
        <v>2303</v>
      </c>
      <c r="G107" s="0" t="s">
        <v>22</v>
      </c>
      <c r="H107" s="0" t="s">
        <v>22</v>
      </c>
      <c r="I107" s="0" t="s">
        <v>865</v>
      </c>
    </row>
    <row customHeight="1" ht="11.25">
      <c r="A108" s="1849" t="s">
        <v>2295</v>
      </c>
      <c r="B108" s="1849" t="s">
        <v>16</v>
      </c>
      <c r="C108" s="0" t="s">
        <v>2582</v>
      </c>
      <c r="D108" s="0" t="s">
        <v>2583</v>
      </c>
      <c r="E108" s="0" t="s">
        <v>2584</v>
      </c>
      <c r="F108" s="0" t="s">
        <v>2299</v>
      </c>
      <c r="G108" s="0" t="s">
        <v>22</v>
      </c>
      <c r="H108" s="0" t="s">
        <v>22</v>
      </c>
      <c r="I108" s="0" t="s">
        <v>865</v>
      </c>
    </row>
    <row customHeight="1" ht="11.25">
      <c r="A109" s="1849" t="s">
        <v>2295</v>
      </c>
      <c r="B109" s="1849" t="s">
        <v>16</v>
      </c>
      <c r="C109" s="0" t="s">
        <v>2323</v>
      </c>
      <c r="D109" s="0" t="s">
        <v>2324</v>
      </c>
      <c r="E109" s="0" t="s">
        <v>2325</v>
      </c>
      <c r="F109" s="0" t="s">
        <v>2299</v>
      </c>
      <c r="G109" s="0" t="s">
        <v>22</v>
      </c>
      <c r="H109" s="0" t="s">
        <v>22</v>
      </c>
      <c r="I109" s="0" t="s">
        <v>865</v>
      </c>
    </row>
    <row customHeight="1" ht="11.25">
      <c r="A110" s="1849" t="s">
        <v>2295</v>
      </c>
      <c r="B110" s="1849" t="s">
        <v>16</v>
      </c>
      <c r="C110" s="0" t="s">
        <v>2585</v>
      </c>
      <c r="D110" s="0" t="s">
        <v>2586</v>
      </c>
      <c r="E110" s="0" t="s">
        <v>2587</v>
      </c>
      <c r="F110" s="0" t="s">
        <v>2423</v>
      </c>
      <c r="G110" s="0" t="s">
        <v>22</v>
      </c>
      <c r="H110" s="0" t="s">
        <v>22</v>
      </c>
      <c r="I110" s="0" t="s">
        <v>865</v>
      </c>
    </row>
    <row customHeight="1" ht="11.25">
      <c r="A111" s="1849" t="s">
        <v>2295</v>
      </c>
      <c r="B111" s="1849" t="s">
        <v>16</v>
      </c>
      <c r="C111" s="0" t="s">
        <v>2326</v>
      </c>
      <c r="D111" s="0" t="s">
        <v>2327</v>
      </c>
      <c r="E111" s="0" t="s">
        <v>2328</v>
      </c>
      <c r="F111" s="0" t="s">
        <v>2329</v>
      </c>
      <c r="G111" s="0" t="s">
        <v>22</v>
      </c>
      <c r="H111" s="0" t="s">
        <v>22</v>
      </c>
      <c r="I111" s="0" t="s">
        <v>865</v>
      </c>
    </row>
    <row customHeight="1" ht="11.25">
      <c r="A112" s="1849" t="s">
        <v>2295</v>
      </c>
      <c r="B112" s="1849" t="s">
        <v>16</v>
      </c>
      <c r="C112" s="0" t="s">
        <v>2588</v>
      </c>
      <c r="D112" s="0" t="s">
        <v>2589</v>
      </c>
      <c r="E112" s="0" t="s">
        <v>2590</v>
      </c>
      <c r="F112" s="0" t="s">
        <v>2299</v>
      </c>
      <c r="G112" s="0" t="s">
        <v>22</v>
      </c>
      <c r="H112" s="0" t="s">
        <v>22</v>
      </c>
      <c r="I112" s="0" t="s">
        <v>865</v>
      </c>
    </row>
    <row customHeight="1" ht="11.25">
      <c r="A113" s="1849" t="s">
        <v>2295</v>
      </c>
      <c r="B113" s="1849" t="s">
        <v>16</v>
      </c>
      <c r="C113" s="0" t="s">
        <v>2333</v>
      </c>
      <c r="D113" s="0" t="s">
        <v>2334</v>
      </c>
      <c r="E113" s="0" t="s">
        <v>2335</v>
      </c>
      <c r="F113" s="0" t="s">
        <v>2314</v>
      </c>
      <c r="G113" s="0" t="s">
        <v>2336</v>
      </c>
      <c r="H113" s="0" t="s">
        <v>22</v>
      </c>
      <c r="I113" s="0" t="s">
        <v>865</v>
      </c>
    </row>
    <row customHeight="1" ht="11.25">
      <c r="A114" s="1849" t="s">
        <v>2295</v>
      </c>
      <c r="B114" s="1849" t="s">
        <v>16</v>
      </c>
      <c r="C114" s="0" t="s">
        <v>2337</v>
      </c>
      <c r="D114" s="0" t="s">
        <v>2338</v>
      </c>
      <c r="E114" s="0" t="s">
        <v>2339</v>
      </c>
      <c r="F114" s="0" t="s">
        <v>2340</v>
      </c>
      <c r="G114" s="0" t="s">
        <v>22</v>
      </c>
      <c r="H114" s="0" t="s">
        <v>22</v>
      </c>
      <c r="I114" s="0" t="s">
        <v>865</v>
      </c>
    </row>
    <row customHeight="1" ht="11.25">
      <c r="A115" s="1849" t="s">
        <v>2295</v>
      </c>
      <c r="B115" s="1849" t="s">
        <v>16</v>
      </c>
      <c r="C115" s="0" t="s">
        <v>2341</v>
      </c>
      <c r="D115" s="0" t="s">
        <v>2342</v>
      </c>
      <c r="E115" s="0" t="s">
        <v>2343</v>
      </c>
      <c r="F115" s="0" t="s">
        <v>2307</v>
      </c>
      <c r="G115" s="0" t="s">
        <v>22</v>
      </c>
      <c r="H115" s="0" t="s">
        <v>22</v>
      </c>
      <c r="I115" s="0" t="s">
        <v>865</v>
      </c>
    </row>
    <row customHeight="1" ht="11.25">
      <c r="A116" s="1849" t="s">
        <v>2295</v>
      </c>
      <c r="B116" s="1849" t="s">
        <v>16</v>
      </c>
      <c r="C116" s="0" t="s">
        <v>2344</v>
      </c>
      <c r="D116" s="0" t="s">
        <v>2345</v>
      </c>
      <c r="E116" s="0" t="s">
        <v>2346</v>
      </c>
      <c r="F116" s="0" t="s">
        <v>2340</v>
      </c>
      <c r="G116" s="0" t="s">
        <v>22</v>
      </c>
      <c r="H116" s="0" t="s">
        <v>22</v>
      </c>
      <c r="I116" s="0" t="s">
        <v>865</v>
      </c>
    </row>
    <row customHeight="1" ht="11.25">
      <c r="A117" s="1849" t="s">
        <v>2295</v>
      </c>
      <c r="B117" s="1849" t="s">
        <v>16</v>
      </c>
      <c r="C117" s="0" t="s">
        <v>2591</v>
      </c>
      <c r="D117" s="0" t="s">
        <v>2592</v>
      </c>
      <c r="E117" s="0" t="s">
        <v>2593</v>
      </c>
      <c r="F117" s="0" t="s">
        <v>2350</v>
      </c>
      <c r="G117" s="0" t="s">
        <v>2594</v>
      </c>
      <c r="H117" s="0" t="s">
        <v>22</v>
      </c>
      <c r="I117" s="0" t="s">
        <v>865</v>
      </c>
    </row>
    <row customHeight="1" ht="11.25">
      <c r="A118" s="1849" t="s">
        <v>2295</v>
      </c>
      <c r="B118" s="1849" t="s">
        <v>16</v>
      </c>
      <c r="C118" s="0" t="s">
        <v>2595</v>
      </c>
      <c r="D118" s="0" t="s">
        <v>2596</v>
      </c>
      <c r="E118" s="0" t="s">
        <v>2353</v>
      </c>
      <c r="F118" s="0" t="s">
        <v>2597</v>
      </c>
      <c r="G118" s="0" t="s">
        <v>22</v>
      </c>
      <c r="H118" s="0" t="s">
        <v>22</v>
      </c>
      <c r="I118" s="0" t="s">
        <v>865</v>
      </c>
    </row>
    <row customHeight="1" ht="11.25">
      <c r="A119" s="1849" t="s">
        <v>2295</v>
      </c>
      <c r="B119" s="1849" t="s">
        <v>16</v>
      </c>
      <c r="C119" s="0" t="s">
        <v>2347</v>
      </c>
      <c r="D119" s="0" t="s">
        <v>2348</v>
      </c>
      <c r="E119" s="0" t="s">
        <v>2349</v>
      </c>
      <c r="F119" s="0" t="s">
        <v>2350</v>
      </c>
      <c r="G119" s="0" t="s">
        <v>22</v>
      </c>
      <c r="H119" s="0" t="s">
        <v>22</v>
      </c>
      <c r="I119" s="0" t="s">
        <v>865</v>
      </c>
    </row>
    <row customHeight="1" ht="11.25">
      <c r="A120" s="1849" t="s">
        <v>2295</v>
      </c>
      <c r="B120" s="1849" t="s">
        <v>16</v>
      </c>
      <c r="C120" s="0" t="s">
        <v>2598</v>
      </c>
      <c r="D120" s="0" t="s">
        <v>2599</v>
      </c>
      <c r="E120" s="0" t="s">
        <v>2600</v>
      </c>
      <c r="F120" s="0" t="s">
        <v>51</v>
      </c>
      <c r="G120" s="0" t="s">
        <v>22</v>
      </c>
      <c r="H120" s="0" t="s">
        <v>22</v>
      </c>
      <c r="I120" s="0" t="s">
        <v>865</v>
      </c>
    </row>
    <row customHeight="1" ht="11.25">
      <c r="A121" s="1849" t="s">
        <v>2295</v>
      </c>
      <c r="B121" s="1849" t="s">
        <v>16</v>
      </c>
      <c r="C121" s="0" t="s">
        <v>2601</v>
      </c>
      <c r="D121" s="0" t="s">
        <v>2602</v>
      </c>
      <c r="E121" s="0" t="s">
        <v>2603</v>
      </c>
      <c r="F121" s="0" t="s">
        <v>2354</v>
      </c>
      <c r="G121" s="0" t="s">
        <v>22</v>
      </c>
      <c r="H121" s="0" t="s">
        <v>22</v>
      </c>
      <c r="I121" s="0" t="s">
        <v>865</v>
      </c>
    </row>
    <row customHeight="1" ht="11.25">
      <c r="A122" s="1849" t="s">
        <v>2295</v>
      </c>
      <c r="B122" s="1849" t="s">
        <v>16</v>
      </c>
      <c r="C122" s="0" t="s">
        <v>2351</v>
      </c>
      <c r="D122" s="0" t="s">
        <v>2352</v>
      </c>
      <c r="E122" s="0" t="s">
        <v>2353</v>
      </c>
      <c r="F122" s="0" t="s">
        <v>2354</v>
      </c>
      <c r="G122" s="0" t="s">
        <v>22</v>
      </c>
      <c r="H122" s="0" t="s">
        <v>22</v>
      </c>
      <c r="I122" s="0" t="s">
        <v>865</v>
      </c>
    </row>
    <row customHeight="1" ht="11.25">
      <c r="A123" s="1849" t="s">
        <v>2295</v>
      </c>
      <c r="B123" s="1849" t="s">
        <v>16</v>
      </c>
      <c r="C123" s="0" t="s">
        <v>2355</v>
      </c>
      <c r="D123" s="0" t="s">
        <v>2356</v>
      </c>
      <c r="E123" s="0" t="s">
        <v>2357</v>
      </c>
      <c r="F123" s="0" t="s">
        <v>2358</v>
      </c>
      <c r="G123" s="0" t="s">
        <v>22</v>
      </c>
      <c r="H123" s="0" t="s">
        <v>22</v>
      </c>
      <c r="I123" s="0" t="s">
        <v>865</v>
      </c>
    </row>
    <row customHeight="1" ht="11.25">
      <c r="A124" s="1849" t="s">
        <v>2295</v>
      </c>
      <c r="B124" s="1849" t="s">
        <v>16</v>
      </c>
      <c r="C124" s="0" t="s">
        <v>2362</v>
      </c>
      <c r="D124" s="0" t="s">
        <v>2363</v>
      </c>
      <c r="E124" s="0" t="s">
        <v>2364</v>
      </c>
      <c r="F124" s="0" t="s">
        <v>2365</v>
      </c>
      <c r="G124" s="0" t="s">
        <v>2366</v>
      </c>
      <c r="H124" s="0" t="s">
        <v>22</v>
      </c>
      <c r="I124" s="0" t="s">
        <v>865</v>
      </c>
    </row>
    <row customHeight="1" ht="11.25">
      <c r="A125" s="1849" t="s">
        <v>2295</v>
      </c>
      <c r="B125" s="1849" t="s">
        <v>16</v>
      </c>
      <c r="C125" s="0" t="s">
        <v>2367</v>
      </c>
      <c r="D125" s="0" t="s">
        <v>2368</v>
      </c>
      <c r="E125" s="0" t="s">
        <v>2369</v>
      </c>
      <c r="F125" s="0" t="s">
        <v>2322</v>
      </c>
      <c r="G125" s="0" t="s">
        <v>22</v>
      </c>
      <c r="H125" s="0" t="s">
        <v>22</v>
      </c>
      <c r="I125" s="0" t="s">
        <v>865</v>
      </c>
    </row>
    <row customHeight="1" ht="11.25">
      <c r="A126" s="1849" t="s">
        <v>2295</v>
      </c>
      <c r="B126" s="1849" t="s">
        <v>16</v>
      </c>
      <c r="C126" s="0" t="s">
        <v>2370</v>
      </c>
      <c r="D126" s="0" t="s">
        <v>2371</v>
      </c>
      <c r="E126" s="0" t="s">
        <v>2372</v>
      </c>
      <c r="F126" s="0" t="s">
        <v>2373</v>
      </c>
      <c r="G126" s="0" t="s">
        <v>2374</v>
      </c>
      <c r="H126" s="0" t="s">
        <v>22</v>
      </c>
      <c r="I126" s="0" t="s">
        <v>865</v>
      </c>
    </row>
    <row customHeight="1" ht="11.25">
      <c r="A127" s="1849" t="s">
        <v>2295</v>
      </c>
      <c r="B127" s="1849" t="s">
        <v>16</v>
      </c>
      <c r="C127" s="0" t="s">
        <v>2382</v>
      </c>
      <c r="D127" s="0" t="s">
        <v>2379</v>
      </c>
      <c r="E127" s="0" t="s">
        <v>2383</v>
      </c>
      <c r="F127" s="0" t="s">
        <v>2384</v>
      </c>
      <c r="G127" s="0" t="s">
        <v>2385</v>
      </c>
      <c r="H127" s="0" t="s">
        <v>22</v>
      </c>
      <c r="I127" s="0" t="s">
        <v>865</v>
      </c>
    </row>
    <row customHeight="1" ht="11.25">
      <c r="A128" s="1849" t="s">
        <v>2295</v>
      </c>
      <c r="B128" s="1849" t="s">
        <v>16</v>
      </c>
      <c r="C128" s="0" t="s">
        <v>2386</v>
      </c>
      <c r="D128" s="0" t="s">
        <v>2387</v>
      </c>
      <c r="E128" s="0" t="s">
        <v>2388</v>
      </c>
      <c r="F128" s="0" t="s">
        <v>2384</v>
      </c>
      <c r="G128" s="0" t="s">
        <v>2389</v>
      </c>
      <c r="H128" s="0" t="s">
        <v>22</v>
      </c>
      <c r="I128" s="0" t="s">
        <v>865</v>
      </c>
    </row>
    <row customHeight="1" ht="11.25">
      <c r="A129" s="1849" t="s">
        <v>2295</v>
      </c>
      <c r="B129" s="1849" t="s">
        <v>16</v>
      </c>
      <c r="C129" s="0" t="s">
        <v>2390</v>
      </c>
      <c r="D129" s="0" t="s">
        <v>2391</v>
      </c>
      <c r="E129" s="0" t="s">
        <v>2392</v>
      </c>
      <c r="F129" s="0" t="s">
        <v>2373</v>
      </c>
      <c r="G129" s="0" t="s">
        <v>22</v>
      </c>
      <c r="H129" s="0" t="s">
        <v>22</v>
      </c>
      <c r="I129" s="0" t="s">
        <v>865</v>
      </c>
    </row>
    <row customHeight="1" ht="11.25">
      <c r="A130" s="1849" t="s">
        <v>2295</v>
      </c>
      <c r="B130" s="1849" t="s">
        <v>16</v>
      </c>
      <c r="C130" s="0" t="s">
        <v>2393</v>
      </c>
      <c r="D130" s="0" t="s">
        <v>2394</v>
      </c>
      <c r="E130" s="0" t="s">
        <v>2395</v>
      </c>
      <c r="F130" s="0" t="s">
        <v>2396</v>
      </c>
      <c r="G130" s="0" t="s">
        <v>22</v>
      </c>
      <c r="H130" s="0" t="s">
        <v>22</v>
      </c>
      <c r="I130" s="0" t="s">
        <v>865</v>
      </c>
    </row>
    <row customHeight="1" ht="11.25">
      <c r="A131" s="1849" t="s">
        <v>2295</v>
      </c>
      <c r="B131" s="1849" t="s">
        <v>16</v>
      </c>
      <c r="C131" s="0" t="s">
        <v>2397</v>
      </c>
      <c r="D131" s="0" t="s">
        <v>2398</v>
      </c>
      <c r="E131" s="0" t="s">
        <v>2399</v>
      </c>
      <c r="F131" s="0" t="s">
        <v>2373</v>
      </c>
      <c r="G131" s="0" t="s">
        <v>2400</v>
      </c>
      <c r="H131" s="0" t="s">
        <v>22</v>
      </c>
      <c r="I131" s="0" t="s">
        <v>865</v>
      </c>
    </row>
    <row customHeight="1" ht="11.25">
      <c r="A132" s="1849" t="s">
        <v>2295</v>
      </c>
      <c r="B132" s="1849" t="s">
        <v>16</v>
      </c>
      <c r="C132" s="0" t="s">
        <v>2604</v>
      </c>
      <c r="D132" s="0" t="s">
        <v>2605</v>
      </c>
      <c r="E132" s="0" t="s">
        <v>2606</v>
      </c>
      <c r="F132" s="0" t="s">
        <v>2384</v>
      </c>
      <c r="G132" s="0" t="s">
        <v>22</v>
      </c>
      <c r="H132" s="0" t="s">
        <v>22</v>
      </c>
      <c r="I132" s="0" t="s">
        <v>865</v>
      </c>
    </row>
    <row customHeight="1" ht="11.25">
      <c r="A133" s="1849" t="s">
        <v>2295</v>
      </c>
      <c r="B133" s="1849" t="s">
        <v>16</v>
      </c>
      <c r="C133" s="0" t="s">
        <v>2607</v>
      </c>
      <c r="D133" s="0" t="s">
        <v>2608</v>
      </c>
      <c r="E133" s="0" t="s">
        <v>2609</v>
      </c>
      <c r="F133" s="0" t="s">
        <v>2318</v>
      </c>
      <c r="G133" s="0" t="s">
        <v>2610</v>
      </c>
      <c r="H133" s="0" t="s">
        <v>22</v>
      </c>
      <c r="I133" s="0" t="s">
        <v>865</v>
      </c>
    </row>
    <row customHeight="1" ht="11.25">
      <c r="A134" s="1849" t="s">
        <v>2295</v>
      </c>
      <c r="B134" s="1849" t="s">
        <v>16</v>
      </c>
      <c r="C134" s="0" t="s">
        <v>2401</v>
      </c>
      <c r="D134" s="0" t="s">
        <v>2402</v>
      </c>
      <c r="E134" s="0" t="s">
        <v>2403</v>
      </c>
      <c r="F134" s="0" t="s">
        <v>2340</v>
      </c>
      <c r="G134" s="0" t="s">
        <v>2404</v>
      </c>
      <c r="H134" s="0" t="s">
        <v>22</v>
      </c>
      <c r="I134" s="0" t="s">
        <v>865</v>
      </c>
    </row>
    <row customHeight="1" ht="11.25">
      <c r="A135" s="1849" t="s">
        <v>2295</v>
      </c>
      <c r="B135" s="1849" t="s">
        <v>16</v>
      </c>
      <c r="C135" s="0" t="s">
        <v>2409</v>
      </c>
      <c r="D135" s="0" t="s">
        <v>2410</v>
      </c>
      <c r="E135" s="0" t="s">
        <v>2411</v>
      </c>
      <c r="F135" s="0" t="s">
        <v>2314</v>
      </c>
      <c r="G135" s="0" t="s">
        <v>2412</v>
      </c>
      <c r="H135" s="0" t="s">
        <v>22</v>
      </c>
      <c r="I135" s="0" t="s">
        <v>865</v>
      </c>
    </row>
    <row customHeight="1" ht="11.25">
      <c r="A136" s="1849" t="s">
        <v>2295</v>
      </c>
      <c r="B136" s="1849" t="s">
        <v>16</v>
      </c>
      <c r="C136" s="0" t="s">
        <v>2413</v>
      </c>
      <c r="D136" s="0" t="s">
        <v>2414</v>
      </c>
      <c r="E136" s="0" t="s">
        <v>2415</v>
      </c>
      <c r="F136" s="0" t="s">
        <v>2416</v>
      </c>
      <c r="G136" s="0" t="s">
        <v>22</v>
      </c>
      <c r="H136" s="0" t="s">
        <v>22</v>
      </c>
      <c r="I136" s="0" t="s">
        <v>865</v>
      </c>
    </row>
    <row customHeight="1" ht="11.25">
      <c r="A137" s="1849" t="s">
        <v>2295</v>
      </c>
      <c r="B137" s="1849" t="s">
        <v>16</v>
      </c>
      <c r="C137" s="0" t="s">
        <v>2417</v>
      </c>
      <c r="D137" s="0" t="s">
        <v>2418</v>
      </c>
      <c r="E137" s="0" t="s">
        <v>2419</v>
      </c>
      <c r="F137" s="0" t="s">
        <v>2318</v>
      </c>
      <c r="G137" s="0" t="s">
        <v>22</v>
      </c>
      <c r="H137" s="0" t="s">
        <v>22</v>
      </c>
      <c r="I137" s="0" t="s">
        <v>865</v>
      </c>
    </row>
    <row customHeight="1" ht="11.25">
      <c r="A138" s="1849" t="s">
        <v>2295</v>
      </c>
      <c r="B138" s="1849" t="s">
        <v>16</v>
      </c>
      <c r="C138" s="0" t="s">
        <v>13</v>
      </c>
      <c r="D138" s="0" t="s">
        <v>46</v>
      </c>
      <c r="E138" s="0" t="s">
        <v>49</v>
      </c>
      <c r="F138" s="0" t="s">
        <v>51</v>
      </c>
      <c r="G138" s="0" t="s">
        <v>22</v>
      </c>
      <c r="H138" s="0" t="s">
        <v>22</v>
      </c>
      <c r="I138" s="0" t="s">
        <v>865</v>
      </c>
    </row>
    <row customHeight="1" ht="11.25">
      <c r="A139" s="1849" t="s">
        <v>2295</v>
      </c>
      <c r="B139" s="1849" t="s">
        <v>16</v>
      </c>
      <c r="C139" s="0" t="s">
        <v>2420</v>
      </c>
      <c r="D139" s="0" t="s">
        <v>2421</v>
      </c>
      <c r="E139" s="0" t="s">
        <v>2422</v>
      </c>
      <c r="F139" s="0" t="s">
        <v>2423</v>
      </c>
      <c r="G139" s="0" t="s">
        <v>22</v>
      </c>
      <c r="H139" s="0" t="s">
        <v>22</v>
      </c>
      <c r="I139" s="0" t="s">
        <v>865</v>
      </c>
    </row>
    <row customHeight="1" ht="11.25">
      <c r="A140" s="1849" t="s">
        <v>2295</v>
      </c>
      <c r="B140" s="1849" t="s">
        <v>16</v>
      </c>
      <c r="C140" s="0" t="s">
        <v>2427</v>
      </c>
      <c r="D140" s="0" t="s">
        <v>2428</v>
      </c>
      <c r="E140" s="0" t="s">
        <v>2429</v>
      </c>
      <c r="F140" s="0" t="s">
        <v>2358</v>
      </c>
      <c r="G140" s="0" t="s">
        <v>22</v>
      </c>
      <c r="H140" s="0" t="s">
        <v>22</v>
      </c>
      <c r="I140" s="0" t="s">
        <v>865</v>
      </c>
    </row>
    <row customHeight="1" ht="11.25">
      <c r="A141" s="1849" t="s">
        <v>2295</v>
      </c>
      <c r="B141" s="1849" t="s">
        <v>16</v>
      </c>
      <c r="C141" s="0" t="s">
        <v>2430</v>
      </c>
      <c r="D141" s="0" t="s">
        <v>2431</v>
      </c>
      <c r="E141" s="0" t="s">
        <v>2328</v>
      </c>
      <c r="F141" s="0" t="s">
        <v>2432</v>
      </c>
      <c r="G141" s="0" t="s">
        <v>22</v>
      </c>
      <c r="H141" s="0" t="s">
        <v>22</v>
      </c>
      <c r="I141" s="0" t="s">
        <v>865</v>
      </c>
    </row>
    <row customHeight="1" ht="11.25">
      <c r="A142" s="1849" t="s">
        <v>2295</v>
      </c>
      <c r="B142" s="1849" t="s">
        <v>16</v>
      </c>
      <c r="C142" s="0" t="s">
        <v>2433</v>
      </c>
      <c r="D142" s="0" t="s">
        <v>2434</v>
      </c>
      <c r="E142" s="0" t="s">
        <v>2435</v>
      </c>
      <c r="F142" s="0" t="s">
        <v>2384</v>
      </c>
      <c r="G142" s="0" t="s">
        <v>2436</v>
      </c>
      <c r="H142" s="0" t="s">
        <v>22</v>
      </c>
      <c r="I142" s="0" t="s">
        <v>865</v>
      </c>
    </row>
    <row customHeight="1" ht="11.25">
      <c r="A143" s="1849" t="s">
        <v>2295</v>
      </c>
      <c r="B143" s="1849" t="s">
        <v>16</v>
      </c>
      <c r="C143" s="0" t="s">
        <v>2611</v>
      </c>
      <c r="D143" s="0" t="s">
        <v>2612</v>
      </c>
      <c r="E143" s="0" t="s">
        <v>2613</v>
      </c>
      <c r="F143" s="0" t="s">
        <v>2307</v>
      </c>
      <c r="G143" s="0" t="s">
        <v>22</v>
      </c>
      <c r="H143" s="0" t="s">
        <v>22</v>
      </c>
      <c r="I143" s="0" t="s">
        <v>865</v>
      </c>
    </row>
    <row customHeight="1" ht="11.25">
      <c r="A144" s="1849" t="s">
        <v>2295</v>
      </c>
      <c r="B144" s="1849" t="s">
        <v>16</v>
      </c>
      <c r="C144" s="0" t="s">
        <v>2437</v>
      </c>
      <c r="D144" s="0" t="s">
        <v>2438</v>
      </c>
      <c r="E144" s="0" t="s">
        <v>2439</v>
      </c>
      <c r="F144" s="0" t="s">
        <v>2440</v>
      </c>
      <c r="G144" s="0" t="s">
        <v>2441</v>
      </c>
      <c r="H144" s="0" t="s">
        <v>22</v>
      </c>
      <c r="I144" s="0" t="s">
        <v>865</v>
      </c>
    </row>
    <row customHeight="1" ht="11.25">
      <c r="A145" s="1849" t="s">
        <v>2295</v>
      </c>
      <c r="B145" s="1849" t="s">
        <v>16</v>
      </c>
      <c r="C145" s="0" t="s">
        <v>2614</v>
      </c>
      <c r="D145" s="0" t="s">
        <v>2615</v>
      </c>
      <c r="E145" s="0" t="s">
        <v>2616</v>
      </c>
      <c r="F145" s="0" t="s">
        <v>2396</v>
      </c>
      <c r="G145" s="0" t="s">
        <v>2617</v>
      </c>
      <c r="H145" s="0" t="s">
        <v>22</v>
      </c>
      <c r="I145" s="0" t="s">
        <v>865</v>
      </c>
    </row>
    <row customHeight="1" ht="11.25">
      <c r="A146" s="1849" t="s">
        <v>2295</v>
      </c>
      <c r="B146" s="1849" t="s">
        <v>16</v>
      </c>
      <c r="C146" s="0" t="s">
        <v>2618</v>
      </c>
      <c r="D146" s="0" t="s">
        <v>2619</v>
      </c>
      <c r="E146" s="0" t="s">
        <v>2620</v>
      </c>
      <c r="F146" s="0" t="s">
        <v>2440</v>
      </c>
      <c r="G146" s="0" t="s">
        <v>22</v>
      </c>
      <c r="H146" s="0" t="s">
        <v>22</v>
      </c>
      <c r="I146" s="0" t="s">
        <v>865</v>
      </c>
    </row>
    <row customHeight="1" ht="11.25">
      <c r="A147" s="1849" t="s">
        <v>2295</v>
      </c>
      <c r="B147" s="1849" t="s">
        <v>16</v>
      </c>
      <c r="C147" s="0" t="s">
        <v>2621</v>
      </c>
      <c r="D147" s="0" t="s">
        <v>2622</v>
      </c>
      <c r="E147" s="0" t="s">
        <v>2623</v>
      </c>
      <c r="F147" s="0" t="s">
        <v>2307</v>
      </c>
      <c r="G147" s="0" t="s">
        <v>22</v>
      </c>
      <c r="H147" s="0" t="s">
        <v>22</v>
      </c>
      <c r="I147" s="0" t="s">
        <v>865</v>
      </c>
    </row>
    <row customHeight="1" ht="11.25">
      <c r="A148" s="1849" t="s">
        <v>2295</v>
      </c>
      <c r="B148" s="1849" t="s">
        <v>16</v>
      </c>
      <c r="C148" s="0" t="s">
        <v>2624</v>
      </c>
      <c r="D148" s="0" t="s">
        <v>2625</v>
      </c>
      <c r="E148" s="0" t="s">
        <v>2626</v>
      </c>
      <c r="F148" s="0" t="s">
        <v>2299</v>
      </c>
      <c r="G148" s="0" t="s">
        <v>22</v>
      </c>
      <c r="H148" s="0" t="s">
        <v>22</v>
      </c>
      <c r="I148" s="0" t="s">
        <v>865</v>
      </c>
    </row>
    <row customHeight="1" ht="11.25">
      <c r="A149" s="1849" t="s">
        <v>2295</v>
      </c>
      <c r="B149" s="1849" t="s">
        <v>16</v>
      </c>
      <c r="C149" s="0" t="s">
        <v>2452</v>
      </c>
      <c r="D149" s="0" t="s">
        <v>2453</v>
      </c>
      <c r="E149" s="0" t="s">
        <v>2454</v>
      </c>
      <c r="F149" s="0" t="s">
        <v>2340</v>
      </c>
      <c r="G149" s="0" t="s">
        <v>22</v>
      </c>
      <c r="H149" s="0" t="s">
        <v>22</v>
      </c>
      <c r="I149" s="0" t="s">
        <v>865</v>
      </c>
    </row>
    <row customHeight="1" ht="11.25">
      <c r="A150" s="1849" t="s">
        <v>2295</v>
      </c>
      <c r="B150" s="1849" t="s">
        <v>16</v>
      </c>
      <c r="C150" s="0" t="s">
        <v>2455</v>
      </c>
      <c r="D150" s="0" t="s">
        <v>2456</v>
      </c>
      <c r="E150" s="0" t="s">
        <v>2457</v>
      </c>
      <c r="F150" s="0" t="s">
        <v>2445</v>
      </c>
      <c r="G150" s="0" t="s">
        <v>2458</v>
      </c>
      <c r="H150" s="0" t="s">
        <v>22</v>
      </c>
      <c r="I150" s="0" t="s">
        <v>865</v>
      </c>
    </row>
    <row customHeight="1" ht="11.25">
      <c r="A151" s="1849" t="s">
        <v>2295</v>
      </c>
      <c r="B151" s="1849" t="s">
        <v>16</v>
      </c>
      <c r="C151" s="0" t="s">
        <v>2474</v>
      </c>
      <c r="D151" s="0" t="s">
        <v>2475</v>
      </c>
      <c r="E151" s="0" t="s">
        <v>2476</v>
      </c>
      <c r="F151" s="0" t="s">
        <v>2354</v>
      </c>
      <c r="G151" s="0" t="s">
        <v>22</v>
      </c>
      <c r="H151" s="0" t="s">
        <v>22</v>
      </c>
      <c r="I151" s="0" t="s">
        <v>865</v>
      </c>
    </row>
    <row customHeight="1" ht="11.25">
      <c r="A152" s="1849" t="s">
        <v>2295</v>
      </c>
      <c r="B152" s="1849" t="s">
        <v>16</v>
      </c>
      <c r="C152" s="0" t="s">
        <v>2477</v>
      </c>
      <c r="D152" s="0" t="s">
        <v>2478</v>
      </c>
      <c r="E152" s="0" t="s">
        <v>2479</v>
      </c>
      <c r="F152" s="0" t="s">
        <v>2480</v>
      </c>
      <c r="G152" s="0" t="s">
        <v>22</v>
      </c>
      <c r="H152" s="0" t="s">
        <v>22</v>
      </c>
      <c r="I152" s="0" t="s">
        <v>865</v>
      </c>
    </row>
    <row customHeight="1" ht="11.25">
      <c r="A153" s="1849" t="s">
        <v>2295</v>
      </c>
      <c r="B153" s="1849" t="s">
        <v>16</v>
      </c>
      <c r="C153" s="0" t="s">
        <v>2627</v>
      </c>
      <c r="D153" s="0" t="s">
        <v>2628</v>
      </c>
      <c r="E153" s="0" t="s">
        <v>2629</v>
      </c>
      <c r="F153" s="0" t="s">
        <v>2384</v>
      </c>
      <c r="G153" s="0" t="s">
        <v>22</v>
      </c>
      <c r="H153" s="0" t="s">
        <v>22</v>
      </c>
      <c r="I153" s="0" t="s">
        <v>865</v>
      </c>
    </row>
    <row customHeight="1" ht="11.25">
      <c r="A154" s="1849" t="s">
        <v>2295</v>
      </c>
      <c r="B154" s="1849" t="s">
        <v>16</v>
      </c>
      <c r="C154" s="0" t="s">
        <v>2630</v>
      </c>
      <c r="D154" s="0" t="s">
        <v>2631</v>
      </c>
      <c r="E154" s="0" t="s">
        <v>2632</v>
      </c>
      <c r="F154" s="0" t="s">
        <v>2307</v>
      </c>
      <c r="G154" s="0" t="s">
        <v>22</v>
      </c>
      <c r="H154" s="0" t="s">
        <v>22</v>
      </c>
      <c r="I154" s="0" t="s">
        <v>865</v>
      </c>
    </row>
    <row customHeight="1" ht="11.25">
      <c r="A155" s="1849" t="s">
        <v>2295</v>
      </c>
      <c r="B155" s="1849" t="s">
        <v>16</v>
      </c>
      <c r="C155" s="0" t="s">
        <v>2484</v>
      </c>
      <c r="D155" s="0" t="s">
        <v>2485</v>
      </c>
      <c r="E155" s="0" t="s">
        <v>2486</v>
      </c>
      <c r="F155" s="0" t="s">
        <v>2299</v>
      </c>
      <c r="G155" s="0" t="s">
        <v>22</v>
      </c>
      <c r="H155" s="0" t="s">
        <v>22</v>
      </c>
      <c r="I155" s="0" t="s">
        <v>865</v>
      </c>
    </row>
    <row customHeight="1" ht="11.25">
      <c r="A156" s="1849" t="s">
        <v>2295</v>
      </c>
      <c r="B156" s="1849" t="s">
        <v>16</v>
      </c>
      <c r="C156" s="0" t="s">
        <v>2633</v>
      </c>
      <c r="D156" s="0" t="s">
        <v>2634</v>
      </c>
      <c r="E156" s="0" t="s">
        <v>2635</v>
      </c>
      <c r="F156" s="0" t="s">
        <v>2318</v>
      </c>
      <c r="G156" s="0" t="s">
        <v>2636</v>
      </c>
      <c r="H156" s="0" t="s">
        <v>22</v>
      </c>
      <c r="I156" s="0" t="s">
        <v>865</v>
      </c>
    </row>
    <row customHeight="1" ht="11.25">
      <c r="A157" s="1849" t="s">
        <v>2295</v>
      </c>
      <c r="B157" s="1849" t="s">
        <v>16</v>
      </c>
      <c r="C157" s="0" t="s">
        <v>2487</v>
      </c>
      <c r="D157" s="0" t="s">
        <v>2488</v>
      </c>
      <c r="E157" s="0" t="s">
        <v>2489</v>
      </c>
      <c r="F157" s="0" t="s">
        <v>2307</v>
      </c>
      <c r="G157" s="0" t="s">
        <v>22</v>
      </c>
      <c r="H157" s="0" t="s">
        <v>22</v>
      </c>
      <c r="I157" s="0" t="s">
        <v>865</v>
      </c>
    </row>
    <row customHeight="1" ht="11.25">
      <c r="A158" s="1849" t="s">
        <v>2295</v>
      </c>
      <c r="B158" s="1849" t="s">
        <v>16</v>
      </c>
      <c r="C158" s="0" t="s">
        <v>2490</v>
      </c>
      <c r="D158" s="0" t="s">
        <v>2491</v>
      </c>
      <c r="E158" s="0" t="s">
        <v>2492</v>
      </c>
      <c r="F158" s="0" t="s">
        <v>2299</v>
      </c>
      <c r="G158" s="0" t="s">
        <v>2493</v>
      </c>
      <c r="H158" s="0" t="s">
        <v>22</v>
      </c>
      <c r="I158" s="0" t="s">
        <v>865</v>
      </c>
    </row>
    <row customHeight="1" ht="11.25">
      <c r="A159" s="1849" t="s">
        <v>2295</v>
      </c>
      <c r="B159" s="1849" t="s">
        <v>16</v>
      </c>
      <c r="C159" s="0" t="s">
        <v>2500</v>
      </c>
      <c r="D159" s="0" t="s">
        <v>2501</v>
      </c>
      <c r="E159" s="0" t="s">
        <v>2502</v>
      </c>
      <c r="F159" s="0" t="s">
        <v>2299</v>
      </c>
      <c r="G159" s="0" t="s">
        <v>2503</v>
      </c>
      <c r="H159" s="0" t="s">
        <v>22</v>
      </c>
      <c r="I159" s="0" t="s">
        <v>865</v>
      </c>
    </row>
    <row customHeight="1" ht="11.25">
      <c r="A160" s="1849" t="s">
        <v>2295</v>
      </c>
      <c r="B160" s="1849" t="s">
        <v>16</v>
      </c>
      <c r="C160" s="0" t="s">
        <v>2637</v>
      </c>
      <c r="D160" s="0" t="s">
        <v>2638</v>
      </c>
      <c r="E160" s="0" t="s">
        <v>2639</v>
      </c>
      <c r="F160" s="0" t="s">
        <v>2314</v>
      </c>
      <c r="G160" s="0" t="s">
        <v>22</v>
      </c>
      <c r="H160" s="0" t="s">
        <v>2640</v>
      </c>
      <c r="I160" s="0" t="s">
        <v>865</v>
      </c>
    </row>
    <row customHeight="1" ht="11.25">
      <c r="A161" s="1849" t="s">
        <v>2295</v>
      </c>
      <c r="B161" s="1849" t="s">
        <v>16</v>
      </c>
      <c r="C161" s="0" t="s">
        <v>2641</v>
      </c>
      <c r="D161" s="0" t="s">
        <v>2642</v>
      </c>
      <c r="E161" s="0" t="s">
        <v>2643</v>
      </c>
      <c r="F161" s="0" t="s">
        <v>2299</v>
      </c>
      <c r="G161" s="0" t="s">
        <v>22</v>
      </c>
      <c r="H161" s="0" t="s">
        <v>22</v>
      </c>
      <c r="I161" s="0" t="s">
        <v>865</v>
      </c>
    </row>
    <row customHeight="1" ht="11.25">
      <c r="A162" s="1849" t="s">
        <v>2295</v>
      </c>
      <c r="B162" s="1849" t="s">
        <v>16</v>
      </c>
      <c r="C162" s="0" t="s">
        <v>2520</v>
      </c>
      <c r="D162" s="0" t="s">
        <v>2521</v>
      </c>
      <c r="E162" s="0" t="s">
        <v>2522</v>
      </c>
      <c r="F162" s="0" t="s">
        <v>2358</v>
      </c>
      <c r="G162" s="0" t="s">
        <v>22</v>
      </c>
      <c r="H162" s="0" t="s">
        <v>22</v>
      </c>
      <c r="I162" s="0" t="s">
        <v>865</v>
      </c>
    </row>
    <row customHeight="1" ht="11.25">
      <c r="A163" s="1849" t="s">
        <v>2295</v>
      </c>
      <c r="B163" s="1849" t="s">
        <v>16</v>
      </c>
      <c r="C163" s="0" t="s">
        <v>2523</v>
      </c>
      <c r="D163" s="0" t="s">
        <v>2524</v>
      </c>
      <c r="E163" s="0" t="s">
        <v>2525</v>
      </c>
      <c r="F163" s="0" t="s">
        <v>2299</v>
      </c>
      <c r="G163" s="0" t="s">
        <v>2526</v>
      </c>
      <c r="H163" s="0" t="s">
        <v>22</v>
      </c>
      <c r="I163" s="0" t="s">
        <v>865</v>
      </c>
    </row>
    <row customHeight="1" ht="11.25">
      <c r="A164" s="1849" t="s">
        <v>2295</v>
      </c>
      <c r="B164" s="1849" t="s">
        <v>16</v>
      </c>
      <c r="C164" s="0" t="s">
        <v>2644</v>
      </c>
      <c r="D164" s="0" t="s">
        <v>2645</v>
      </c>
      <c r="E164" s="0" t="s">
        <v>2646</v>
      </c>
      <c r="F164" s="0" t="s">
        <v>2384</v>
      </c>
      <c r="G164" s="0" t="s">
        <v>22</v>
      </c>
      <c r="H164" s="0" t="s">
        <v>22</v>
      </c>
      <c r="I164" s="0" t="s">
        <v>865</v>
      </c>
    </row>
    <row customHeight="1" ht="11.25">
      <c r="A165" s="1849" t="s">
        <v>2295</v>
      </c>
      <c r="B165" s="1849" t="s">
        <v>16</v>
      </c>
      <c r="C165" s="0" t="s">
        <v>2530</v>
      </c>
      <c r="D165" s="0" t="s">
        <v>2531</v>
      </c>
      <c r="E165" s="0" t="s">
        <v>2532</v>
      </c>
      <c r="F165" s="0" t="s">
        <v>2299</v>
      </c>
      <c r="G165" s="0" t="s">
        <v>2533</v>
      </c>
      <c r="H165" s="0" t="s">
        <v>22</v>
      </c>
      <c r="I165" s="0" t="s">
        <v>865</v>
      </c>
    </row>
    <row customHeight="1" ht="11.25">
      <c r="A166" s="1849" t="s">
        <v>2295</v>
      </c>
      <c r="B166" s="1849" t="s">
        <v>16</v>
      </c>
      <c r="C166" s="0" t="s">
        <v>2534</v>
      </c>
      <c r="D166" s="0" t="s">
        <v>2535</v>
      </c>
      <c r="E166" s="0" t="s">
        <v>2536</v>
      </c>
      <c r="F166" s="0" t="s">
        <v>2445</v>
      </c>
      <c r="G166" s="0" t="s">
        <v>22</v>
      </c>
      <c r="H166" s="0" t="s">
        <v>22</v>
      </c>
      <c r="I166" s="0" t="s">
        <v>865</v>
      </c>
    </row>
    <row customHeight="1" ht="11.25">
      <c r="A167" s="1849" t="s">
        <v>2295</v>
      </c>
      <c r="B167" s="1849" t="s">
        <v>16</v>
      </c>
      <c r="C167" s="0" t="s">
        <v>2545</v>
      </c>
      <c r="D167" s="0" t="s">
        <v>2546</v>
      </c>
      <c r="E167" s="0" t="s">
        <v>2547</v>
      </c>
      <c r="F167" s="0" t="s">
        <v>2358</v>
      </c>
      <c r="G167" s="0" t="s">
        <v>2548</v>
      </c>
      <c r="H167" s="0" t="s">
        <v>22</v>
      </c>
      <c r="I167" s="0" t="s">
        <v>865</v>
      </c>
    </row>
    <row customHeight="1" ht="11.25">
      <c r="A168" s="1849" t="s">
        <v>2295</v>
      </c>
      <c r="B168" s="1849" t="s">
        <v>16</v>
      </c>
      <c r="C168" s="0" t="s">
        <v>22</v>
      </c>
      <c r="D168" s="0" t="s">
        <v>2558</v>
      </c>
      <c r="E168" s="0" t="s">
        <v>2559</v>
      </c>
      <c r="F168" s="0" t="s">
        <v>2299</v>
      </c>
      <c r="G168" s="0" t="s">
        <v>22</v>
      </c>
      <c r="H168" s="0" t="s">
        <v>22</v>
      </c>
      <c r="I168" s="0" t="s">
        <v>865</v>
      </c>
    </row>
    <row customHeight="1" ht="11.25">
      <c r="A169" s="1849" t="s">
        <v>2295</v>
      </c>
      <c r="B169" s="1849" t="s">
        <v>16</v>
      </c>
      <c r="C169" s="0" t="s">
        <v>2647</v>
      </c>
      <c r="D169" s="0" t="s">
        <v>2648</v>
      </c>
      <c r="E169" s="0" t="s">
        <v>2649</v>
      </c>
      <c r="F169" s="0" t="s">
        <v>2299</v>
      </c>
      <c r="G169" s="0" t="s">
        <v>22</v>
      </c>
      <c r="H169" s="0" t="s">
        <v>22</v>
      </c>
      <c r="I169" s="0" t="s">
        <v>865</v>
      </c>
    </row>
    <row customHeight="1" ht="11.25">
      <c r="A170" s="1849" t="s">
        <v>2295</v>
      </c>
      <c r="B170" s="1849" t="s">
        <v>16</v>
      </c>
      <c r="C170" s="0" t="s">
        <v>2563</v>
      </c>
      <c r="D170" s="0" t="s">
        <v>2564</v>
      </c>
      <c r="E170" s="0" t="s">
        <v>2565</v>
      </c>
      <c r="F170" s="0" t="s">
        <v>2566</v>
      </c>
      <c r="G170" s="0" t="s">
        <v>22</v>
      </c>
      <c r="H170" s="0" t="s">
        <v>22</v>
      </c>
      <c r="I170" s="0" t="s">
        <v>865</v>
      </c>
    </row>
    <row customHeight="1" ht="11.25">
      <c r="A171" s="1849" t="s">
        <v>2295</v>
      </c>
      <c r="B171" s="1849" t="s">
        <v>16</v>
      </c>
      <c r="C171" s="0" t="s">
        <v>2567</v>
      </c>
      <c r="D171" s="0" t="s">
        <v>2568</v>
      </c>
      <c r="E171" s="0" t="s">
        <v>2565</v>
      </c>
      <c r="F171" s="0" t="s">
        <v>2569</v>
      </c>
      <c r="G171" s="0" t="s">
        <v>2570</v>
      </c>
      <c r="H171" s="0" t="s">
        <v>22</v>
      </c>
      <c r="I171" s="0" t="s">
        <v>865</v>
      </c>
    </row>
    <row customHeight="1" ht="11.25">
      <c r="A172" s="1849" t="s">
        <v>2295</v>
      </c>
      <c r="B172" s="1849" t="s">
        <v>16</v>
      </c>
      <c r="C172" s="0" t="s">
        <v>2650</v>
      </c>
      <c r="D172" s="0" t="s">
        <v>2651</v>
      </c>
      <c r="E172" s="0" t="s">
        <v>2652</v>
      </c>
      <c r="F172" s="0" t="s">
        <v>2299</v>
      </c>
      <c r="G172" s="0" t="s">
        <v>22</v>
      </c>
      <c r="H172" s="0" t="s">
        <v>22</v>
      </c>
      <c r="I172" s="0" t="s">
        <v>865</v>
      </c>
    </row>
    <row customHeight="1" ht="11.25">
      <c r="A173" s="1849" t="s">
        <v>2295</v>
      </c>
      <c r="B173" s="1849" t="s">
        <v>16</v>
      </c>
      <c r="C173" s="0" t="s">
        <v>2653</v>
      </c>
      <c r="D173" s="0" t="s">
        <v>2654</v>
      </c>
      <c r="E173" s="0" t="s">
        <v>2655</v>
      </c>
      <c r="F173" s="0" t="s">
        <v>2416</v>
      </c>
      <c r="G173" s="0" t="s">
        <v>22</v>
      </c>
      <c r="H173" s="0" t="s">
        <v>22</v>
      </c>
      <c r="I173" s="0" t="s">
        <v>865</v>
      </c>
    </row>
    <row customHeight="1" ht="11.25">
      <c r="A174" s="1849" t="s">
        <v>2295</v>
      </c>
      <c r="B174" s="1849" t="s">
        <v>16</v>
      </c>
      <c r="C174" s="0" t="s">
        <v>2296</v>
      </c>
      <c r="D174" s="0" t="s">
        <v>2297</v>
      </c>
      <c r="E174" s="0" t="s">
        <v>2298</v>
      </c>
      <c r="F174" s="0" t="s">
        <v>2299</v>
      </c>
      <c r="G174" s="0" t="s">
        <v>22</v>
      </c>
      <c r="H174" s="0" t="s">
        <v>22</v>
      </c>
      <c r="I174" s="0" t="s">
        <v>918</v>
      </c>
    </row>
    <row customHeight="1" ht="11.25">
      <c r="A175" s="1849" t="s">
        <v>2295</v>
      </c>
      <c r="B175" s="1849" t="s">
        <v>16</v>
      </c>
      <c r="C175" s="0" t="s">
        <v>2300</v>
      </c>
      <c r="D175" s="0" t="s">
        <v>2301</v>
      </c>
      <c r="E175" s="0" t="s">
        <v>2302</v>
      </c>
      <c r="F175" s="0" t="s">
        <v>2303</v>
      </c>
      <c r="G175" s="0" t="s">
        <v>22</v>
      </c>
      <c r="H175" s="0" t="s">
        <v>22</v>
      </c>
      <c r="I175" s="0" t="s">
        <v>918</v>
      </c>
    </row>
    <row customHeight="1" ht="11.25">
      <c r="A176" s="1849" t="s">
        <v>2295</v>
      </c>
      <c r="B176" s="1849" t="s">
        <v>16</v>
      </c>
      <c r="C176" s="0" t="s">
        <v>2323</v>
      </c>
      <c r="D176" s="0" t="s">
        <v>2324</v>
      </c>
      <c r="E176" s="0" t="s">
        <v>2325</v>
      </c>
      <c r="F176" s="0" t="s">
        <v>2299</v>
      </c>
      <c r="G176" s="0" t="s">
        <v>22</v>
      </c>
      <c r="H176" s="0" t="s">
        <v>22</v>
      </c>
      <c r="I176" s="0" t="s">
        <v>918</v>
      </c>
    </row>
    <row customHeight="1" ht="11.25">
      <c r="A177" s="1849" t="s">
        <v>2295</v>
      </c>
      <c r="B177" s="1849" t="s">
        <v>16</v>
      </c>
      <c r="C177" s="0" t="s">
        <v>2585</v>
      </c>
      <c r="D177" s="0" t="s">
        <v>2586</v>
      </c>
      <c r="E177" s="0" t="s">
        <v>2587</v>
      </c>
      <c r="F177" s="0" t="s">
        <v>2423</v>
      </c>
      <c r="G177" s="0" t="s">
        <v>22</v>
      </c>
      <c r="H177" s="0" t="s">
        <v>22</v>
      </c>
      <c r="I177" s="0" t="s">
        <v>918</v>
      </c>
    </row>
    <row customHeight="1" ht="11.25">
      <c r="A178" s="1849" t="s">
        <v>2295</v>
      </c>
      <c r="B178" s="1849" t="s">
        <v>16</v>
      </c>
      <c r="C178" s="0" t="s">
        <v>2326</v>
      </c>
      <c r="D178" s="0" t="s">
        <v>2327</v>
      </c>
      <c r="E178" s="0" t="s">
        <v>2328</v>
      </c>
      <c r="F178" s="0" t="s">
        <v>2329</v>
      </c>
      <c r="G178" s="0" t="s">
        <v>22</v>
      </c>
      <c r="H178" s="0" t="s">
        <v>22</v>
      </c>
      <c r="I178" s="0" t="s">
        <v>918</v>
      </c>
    </row>
    <row customHeight="1" ht="11.25">
      <c r="A179" s="1849" t="s">
        <v>2295</v>
      </c>
      <c r="B179" s="1849" t="s">
        <v>16</v>
      </c>
      <c r="C179" s="0" t="s">
        <v>2588</v>
      </c>
      <c r="D179" s="0" t="s">
        <v>2589</v>
      </c>
      <c r="E179" s="0" t="s">
        <v>2590</v>
      </c>
      <c r="F179" s="0" t="s">
        <v>2299</v>
      </c>
      <c r="G179" s="0" t="s">
        <v>22</v>
      </c>
      <c r="H179" s="0" t="s">
        <v>22</v>
      </c>
      <c r="I179" s="0" t="s">
        <v>918</v>
      </c>
    </row>
    <row customHeight="1" ht="11.25">
      <c r="A180" s="1849" t="s">
        <v>2295</v>
      </c>
      <c r="B180" s="1849" t="s">
        <v>16</v>
      </c>
      <c r="C180" s="0" t="s">
        <v>2333</v>
      </c>
      <c r="D180" s="0" t="s">
        <v>2334</v>
      </c>
      <c r="E180" s="0" t="s">
        <v>2335</v>
      </c>
      <c r="F180" s="0" t="s">
        <v>2314</v>
      </c>
      <c r="G180" s="0" t="s">
        <v>2336</v>
      </c>
      <c r="H180" s="0" t="s">
        <v>22</v>
      </c>
      <c r="I180" s="0" t="s">
        <v>918</v>
      </c>
    </row>
    <row customHeight="1" ht="11.25">
      <c r="A181" s="1849" t="s">
        <v>2295</v>
      </c>
      <c r="B181" s="1849" t="s">
        <v>16</v>
      </c>
      <c r="C181" s="0" t="s">
        <v>2337</v>
      </c>
      <c r="D181" s="0" t="s">
        <v>2338</v>
      </c>
      <c r="E181" s="0" t="s">
        <v>2339</v>
      </c>
      <c r="F181" s="0" t="s">
        <v>2340</v>
      </c>
      <c r="G181" s="0" t="s">
        <v>22</v>
      </c>
      <c r="H181" s="0" t="s">
        <v>22</v>
      </c>
      <c r="I181" s="0" t="s">
        <v>918</v>
      </c>
    </row>
    <row customHeight="1" ht="11.25">
      <c r="A182" s="1849" t="s">
        <v>2295</v>
      </c>
      <c r="B182" s="1849" t="s">
        <v>16</v>
      </c>
      <c r="C182" s="0" t="s">
        <v>2341</v>
      </c>
      <c r="D182" s="0" t="s">
        <v>2342</v>
      </c>
      <c r="E182" s="0" t="s">
        <v>2343</v>
      </c>
      <c r="F182" s="0" t="s">
        <v>2307</v>
      </c>
      <c r="G182" s="0" t="s">
        <v>22</v>
      </c>
      <c r="H182" s="0" t="s">
        <v>22</v>
      </c>
      <c r="I182" s="0" t="s">
        <v>918</v>
      </c>
    </row>
    <row customHeight="1" ht="11.25">
      <c r="A183" s="1849" t="s">
        <v>2295</v>
      </c>
      <c r="B183" s="1849" t="s">
        <v>16</v>
      </c>
      <c r="C183" s="0" t="s">
        <v>2344</v>
      </c>
      <c r="D183" s="0" t="s">
        <v>2345</v>
      </c>
      <c r="E183" s="0" t="s">
        <v>2346</v>
      </c>
      <c r="F183" s="0" t="s">
        <v>2340</v>
      </c>
      <c r="G183" s="0" t="s">
        <v>22</v>
      </c>
      <c r="H183" s="0" t="s">
        <v>22</v>
      </c>
      <c r="I183" s="0" t="s">
        <v>918</v>
      </c>
    </row>
    <row customHeight="1" ht="11.25">
      <c r="A184" s="1849" t="s">
        <v>2295</v>
      </c>
      <c r="B184" s="1849" t="s">
        <v>16</v>
      </c>
      <c r="C184" s="0" t="s">
        <v>2591</v>
      </c>
      <c r="D184" s="0" t="s">
        <v>2592</v>
      </c>
      <c r="E184" s="0" t="s">
        <v>2593</v>
      </c>
      <c r="F184" s="0" t="s">
        <v>2350</v>
      </c>
      <c r="G184" s="0" t="s">
        <v>2594</v>
      </c>
      <c r="H184" s="0" t="s">
        <v>22</v>
      </c>
      <c r="I184" s="0" t="s">
        <v>918</v>
      </c>
    </row>
    <row customHeight="1" ht="11.25">
      <c r="A185" s="1849" t="s">
        <v>2295</v>
      </c>
      <c r="B185" s="1849" t="s">
        <v>16</v>
      </c>
      <c r="C185" s="0" t="s">
        <v>2595</v>
      </c>
      <c r="D185" s="0" t="s">
        <v>2596</v>
      </c>
      <c r="E185" s="0" t="s">
        <v>2353</v>
      </c>
      <c r="F185" s="0" t="s">
        <v>2597</v>
      </c>
      <c r="G185" s="0" t="s">
        <v>22</v>
      </c>
      <c r="H185" s="0" t="s">
        <v>22</v>
      </c>
      <c r="I185" s="0" t="s">
        <v>918</v>
      </c>
    </row>
    <row customHeight="1" ht="11.25">
      <c r="A186" s="1849" t="s">
        <v>2295</v>
      </c>
      <c r="B186" s="1849" t="s">
        <v>16</v>
      </c>
      <c r="C186" s="0" t="s">
        <v>2347</v>
      </c>
      <c r="D186" s="0" t="s">
        <v>2348</v>
      </c>
      <c r="E186" s="0" t="s">
        <v>2349</v>
      </c>
      <c r="F186" s="0" t="s">
        <v>2350</v>
      </c>
      <c r="G186" s="0" t="s">
        <v>22</v>
      </c>
      <c r="H186" s="0" t="s">
        <v>22</v>
      </c>
      <c r="I186" s="0" t="s">
        <v>918</v>
      </c>
    </row>
    <row customHeight="1" ht="11.25">
      <c r="A187" s="1849" t="s">
        <v>2295</v>
      </c>
      <c r="B187" s="1849" t="s">
        <v>16</v>
      </c>
      <c r="C187" s="0" t="s">
        <v>2598</v>
      </c>
      <c r="D187" s="0" t="s">
        <v>2599</v>
      </c>
      <c r="E187" s="0" t="s">
        <v>2600</v>
      </c>
      <c r="F187" s="0" t="s">
        <v>51</v>
      </c>
      <c r="G187" s="0" t="s">
        <v>22</v>
      </c>
      <c r="H187" s="0" t="s">
        <v>22</v>
      </c>
      <c r="I187" s="0" t="s">
        <v>918</v>
      </c>
    </row>
    <row customHeight="1" ht="11.25">
      <c r="A188" s="1849" t="s">
        <v>2295</v>
      </c>
      <c r="B188" s="1849" t="s">
        <v>16</v>
      </c>
      <c r="C188" s="0" t="s">
        <v>2351</v>
      </c>
      <c r="D188" s="0" t="s">
        <v>2352</v>
      </c>
      <c r="E188" s="0" t="s">
        <v>2353</v>
      </c>
      <c r="F188" s="0" t="s">
        <v>2354</v>
      </c>
      <c r="G188" s="0" t="s">
        <v>22</v>
      </c>
      <c r="H188" s="0" t="s">
        <v>22</v>
      </c>
      <c r="I188" s="0" t="s">
        <v>918</v>
      </c>
    </row>
    <row customHeight="1" ht="11.25">
      <c r="A189" s="1849" t="s">
        <v>2295</v>
      </c>
      <c r="B189" s="1849" t="s">
        <v>16</v>
      </c>
      <c r="C189" s="0" t="s">
        <v>2355</v>
      </c>
      <c r="D189" s="0" t="s">
        <v>2356</v>
      </c>
      <c r="E189" s="0" t="s">
        <v>2357</v>
      </c>
      <c r="F189" s="0" t="s">
        <v>2358</v>
      </c>
      <c r="G189" s="0" t="s">
        <v>22</v>
      </c>
      <c r="H189" s="0" t="s">
        <v>22</v>
      </c>
      <c r="I189" s="0" t="s">
        <v>918</v>
      </c>
    </row>
    <row customHeight="1" ht="11.25">
      <c r="A190" s="1849" t="s">
        <v>2295</v>
      </c>
      <c r="B190" s="1849" t="s">
        <v>16</v>
      </c>
      <c r="C190" s="0" t="s">
        <v>2362</v>
      </c>
      <c r="D190" s="0" t="s">
        <v>2363</v>
      </c>
      <c r="E190" s="0" t="s">
        <v>2364</v>
      </c>
      <c r="F190" s="0" t="s">
        <v>2365</v>
      </c>
      <c r="G190" s="0" t="s">
        <v>2366</v>
      </c>
      <c r="H190" s="0" t="s">
        <v>22</v>
      </c>
      <c r="I190" s="0" t="s">
        <v>918</v>
      </c>
    </row>
    <row customHeight="1" ht="11.25">
      <c r="A191" s="1849" t="s">
        <v>2295</v>
      </c>
      <c r="B191" s="1849" t="s">
        <v>16</v>
      </c>
      <c r="C191" s="0" t="s">
        <v>2367</v>
      </c>
      <c r="D191" s="0" t="s">
        <v>2368</v>
      </c>
      <c r="E191" s="0" t="s">
        <v>2369</v>
      </c>
      <c r="F191" s="0" t="s">
        <v>2322</v>
      </c>
      <c r="G191" s="0" t="s">
        <v>22</v>
      </c>
      <c r="H191" s="0" t="s">
        <v>22</v>
      </c>
      <c r="I191" s="0" t="s">
        <v>918</v>
      </c>
    </row>
    <row customHeight="1" ht="11.25">
      <c r="A192" s="1849" t="s">
        <v>2295</v>
      </c>
      <c r="B192" s="1849" t="s">
        <v>16</v>
      </c>
      <c r="C192" s="0" t="s">
        <v>2370</v>
      </c>
      <c r="D192" s="0" t="s">
        <v>2371</v>
      </c>
      <c r="E192" s="0" t="s">
        <v>2372</v>
      </c>
      <c r="F192" s="0" t="s">
        <v>2373</v>
      </c>
      <c r="G192" s="0" t="s">
        <v>2374</v>
      </c>
      <c r="H192" s="0" t="s">
        <v>22</v>
      </c>
      <c r="I192" s="0" t="s">
        <v>918</v>
      </c>
    </row>
    <row customHeight="1" ht="11.25">
      <c r="A193" s="1849" t="s">
        <v>2295</v>
      </c>
      <c r="B193" s="1849" t="s">
        <v>16</v>
      </c>
      <c r="C193" s="0" t="s">
        <v>2382</v>
      </c>
      <c r="D193" s="0" t="s">
        <v>2379</v>
      </c>
      <c r="E193" s="0" t="s">
        <v>2383</v>
      </c>
      <c r="F193" s="0" t="s">
        <v>2384</v>
      </c>
      <c r="G193" s="0" t="s">
        <v>2385</v>
      </c>
      <c r="H193" s="0" t="s">
        <v>22</v>
      </c>
      <c r="I193" s="0" t="s">
        <v>918</v>
      </c>
    </row>
    <row customHeight="1" ht="11.25">
      <c r="A194" s="1849" t="s">
        <v>2295</v>
      </c>
      <c r="B194" s="1849" t="s">
        <v>16</v>
      </c>
      <c r="C194" s="0" t="s">
        <v>2386</v>
      </c>
      <c r="D194" s="0" t="s">
        <v>2387</v>
      </c>
      <c r="E194" s="0" t="s">
        <v>2388</v>
      </c>
      <c r="F194" s="0" t="s">
        <v>2384</v>
      </c>
      <c r="G194" s="0" t="s">
        <v>2389</v>
      </c>
      <c r="H194" s="0" t="s">
        <v>22</v>
      </c>
      <c r="I194" s="0" t="s">
        <v>918</v>
      </c>
    </row>
    <row customHeight="1" ht="11.25">
      <c r="A195" s="1849" t="s">
        <v>2295</v>
      </c>
      <c r="B195" s="1849" t="s">
        <v>16</v>
      </c>
      <c r="C195" s="0" t="s">
        <v>2390</v>
      </c>
      <c r="D195" s="0" t="s">
        <v>2391</v>
      </c>
      <c r="E195" s="0" t="s">
        <v>2392</v>
      </c>
      <c r="F195" s="0" t="s">
        <v>2373</v>
      </c>
      <c r="G195" s="0" t="s">
        <v>22</v>
      </c>
      <c r="H195" s="0" t="s">
        <v>22</v>
      </c>
      <c r="I195" s="0" t="s">
        <v>918</v>
      </c>
    </row>
    <row customHeight="1" ht="11.25">
      <c r="A196" s="1849" t="s">
        <v>2295</v>
      </c>
      <c r="B196" s="1849" t="s">
        <v>16</v>
      </c>
      <c r="C196" s="0" t="s">
        <v>2393</v>
      </c>
      <c r="D196" s="0" t="s">
        <v>2394</v>
      </c>
      <c r="E196" s="0" t="s">
        <v>2395</v>
      </c>
      <c r="F196" s="0" t="s">
        <v>2396</v>
      </c>
      <c r="G196" s="0" t="s">
        <v>22</v>
      </c>
      <c r="H196" s="0" t="s">
        <v>22</v>
      </c>
      <c r="I196" s="0" t="s">
        <v>918</v>
      </c>
    </row>
    <row customHeight="1" ht="11.25">
      <c r="A197" s="1849" t="s">
        <v>2295</v>
      </c>
      <c r="B197" s="1849" t="s">
        <v>16</v>
      </c>
      <c r="C197" s="0" t="s">
        <v>2397</v>
      </c>
      <c r="D197" s="0" t="s">
        <v>2398</v>
      </c>
      <c r="E197" s="0" t="s">
        <v>2399</v>
      </c>
      <c r="F197" s="0" t="s">
        <v>2373</v>
      </c>
      <c r="G197" s="0" t="s">
        <v>2400</v>
      </c>
      <c r="H197" s="0" t="s">
        <v>22</v>
      </c>
      <c r="I197" s="0" t="s">
        <v>918</v>
      </c>
    </row>
    <row customHeight="1" ht="11.25">
      <c r="A198" s="1849" t="s">
        <v>2295</v>
      </c>
      <c r="B198" s="1849" t="s">
        <v>16</v>
      </c>
      <c r="C198" s="0" t="s">
        <v>2604</v>
      </c>
      <c r="D198" s="0" t="s">
        <v>2605</v>
      </c>
      <c r="E198" s="0" t="s">
        <v>2606</v>
      </c>
      <c r="F198" s="0" t="s">
        <v>2384</v>
      </c>
      <c r="G198" s="0" t="s">
        <v>22</v>
      </c>
      <c r="H198" s="0" t="s">
        <v>22</v>
      </c>
      <c r="I198" s="0" t="s">
        <v>918</v>
      </c>
    </row>
    <row customHeight="1" ht="11.25">
      <c r="A199" s="1849" t="s">
        <v>2295</v>
      </c>
      <c r="B199" s="1849" t="s">
        <v>16</v>
      </c>
      <c r="C199" s="0" t="s">
        <v>2607</v>
      </c>
      <c r="D199" s="0" t="s">
        <v>2608</v>
      </c>
      <c r="E199" s="0" t="s">
        <v>2609</v>
      </c>
      <c r="F199" s="0" t="s">
        <v>2318</v>
      </c>
      <c r="G199" s="0" t="s">
        <v>2610</v>
      </c>
      <c r="H199" s="0" t="s">
        <v>22</v>
      </c>
      <c r="I199" s="0" t="s">
        <v>918</v>
      </c>
    </row>
    <row customHeight="1" ht="11.25">
      <c r="A200" s="1849" t="s">
        <v>2295</v>
      </c>
      <c r="B200" s="1849" t="s">
        <v>16</v>
      </c>
      <c r="C200" s="0" t="s">
        <v>2401</v>
      </c>
      <c r="D200" s="0" t="s">
        <v>2402</v>
      </c>
      <c r="E200" s="0" t="s">
        <v>2403</v>
      </c>
      <c r="F200" s="0" t="s">
        <v>2340</v>
      </c>
      <c r="G200" s="0" t="s">
        <v>2404</v>
      </c>
      <c r="H200" s="0" t="s">
        <v>22</v>
      </c>
      <c r="I200" s="0" t="s">
        <v>918</v>
      </c>
    </row>
    <row customHeight="1" ht="11.25">
      <c r="A201" s="1849" t="s">
        <v>2295</v>
      </c>
      <c r="B201" s="1849" t="s">
        <v>16</v>
      </c>
      <c r="C201" s="0" t="s">
        <v>2409</v>
      </c>
      <c r="D201" s="0" t="s">
        <v>2410</v>
      </c>
      <c r="E201" s="0" t="s">
        <v>2411</v>
      </c>
      <c r="F201" s="0" t="s">
        <v>2314</v>
      </c>
      <c r="G201" s="0" t="s">
        <v>2412</v>
      </c>
      <c r="H201" s="0" t="s">
        <v>22</v>
      </c>
      <c r="I201" s="0" t="s">
        <v>918</v>
      </c>
    </row>
    <row customHeight="1" ht="11.25">
      <c r="A202" s="1849" t="s">
        <v>2295</v>
      </c>
      <c r="B202" s="1849" t="s">
        <v>16</v>
      </c>
      <c r="C202" s="0" t="s">
        <v>2413</v>
      </c>
      <c r="D202" s="0" t="s">
        <v>2414</v>
      </c>
      <c r="E202" s="0" t="s">
        <v>2415</v>
      </c>
      <c r="F202" s="0" t="s">
        <v>2416</v>
      </c>
      <c r="G202" s="0" t="s">
        <v>22</v>
      </c>
      <c r="H202" s="0" t="s">
        <v>22</v>
      </c>
      <c r="I202" s="0" t="s">
        <v>918</v>
      </c>
    </row>
    <row customHeight="1" ht="11.25">
      <c r="A203" s="1849" t="s">
        <v>2295</v>
      </c>
      <c r="B203" s="1849" t="s">
        <v>16</v>
      </c>
      <c r="C203" s="0" t="s">
        <v>13</v>
      </c>
      <c r="D203" s="0" t="s">
        <v>46</v>
      </c>
      <c r="E203" s="0" t="s">
        <v>49</v>
      </c>
      <c r="F203" s="0" t="s">
        <v>51</v>
      </c>
      <c r="G203" s="0" t="s">
        <v>22</v>
      </c>
      <c r="H203" s="0" t="s">
        <v>22</v>
      </c>
      <c r="I203" s="0" t="s">
        <v>918</v>
      </c>
    </row>
    <row customHeight="1" ht="11.25">
      <c r="A204" s="1849" t="s">
        <v>2295</v>
      </c>
      <c r="B204" s="1849" t="s">
        <v>16</v>
      </c>
      <c r="C204" s="0" t="s">
        <v>2420</v>
      </c>
      <c r="D204" s="0" t="s">
        <v>2421</v>
      </c>
      <c r="E204" s="0" t="s">
        <v>2422</v>
      </c>
      <c r="F204" s="0" t="s">
        <v>2423</v>
      </c>
      <c r="G204" s="0" t="s">
        <v>22</v>
      </c>
      <c r="H204" s="0" t="s">
        <v>22</v>
      </c>
      <c r="I204" s="0" t="s">
        <v>918</v>
      </c>
    </row>
    <row customHeight="1" ht="11.25">
      <c r="A205" s="1849" t="s">
        <v>2295</v>
      </c>
      <c r="B205" s="1849" t="s">
        <v>16</v>
      </c>
      <c r="C205" s="0" t="s">
        <v>2427</v>
      </c>
      <c r="D205" s="0" t="s">
        <v>2428</v>
      </c>
      <c r="E205" s="0" t="s">
        <v>2429</v>
      </c>
      <c r="F205" s="0" t="s">
        <v>2358</v>
      </c>
      <c r="G205" s="0" t="s">
        <v>22</v>
      </c>
      <c r="H205" s="0" t="s">
        <v>22</v>
      </c>
      <c r="I205" s="0" t="s">
        <v>918</v>
      </c>
    </row>
    <row customHeight="1" ht="11.25">
      <c r="A206" s="1849" t="s">
        <v>2295</v>
      </c>
      <c r="B206" s="1849" t="s">
        <v>16</v>
      </c>
      <c r="C206" s="0" t="s">
        <v>2433</v>
      </c>
      <c r="D206" s="0" t="s">
        <v>2434</v>
      </c>
      <c r="E206" s="0" t="s">
        <v>2435</v>
      </c>
      <c r="F206" s="0" t="s">
        <v>2384</v>
      </c>
      <c r="G206" s="0" t="s">
        <v>2436</v>
      </c>
      <c r="H206" s="0" t="s">
        <v>22</v>
      </c>
      <c r="I206" s="0" t="s">
        <v>918</v>
      </c>
    </row>
    <row customHeight="1" ht="11.25">
      <c r="A207" s="1849" t="s">
        <v>2295</v>
      </c>
      <c r="B207" s="1849" t="s">
        <v>16</v>
      </c>
      <c r="C207" s="0" t="s">
        <v>2611</v>
      </c>
      <c r="D207" s="0" t="s">
        <v>2612</v>
      </c>
      <c r="E207" s="0" t="s">
        <v>2613</v>
      </c>
      <c r="F207" s="0" t="s">
        <v>2307</v>
      </c>
      <c r="G207" s="0" t="s">
        <v>22</v>
      </c>
      <c r="H207" s="0" t="s">
        <v>22</v>
      </c>
      <c r="I207" s="0" t="s">
        <v>918</v>
      </c>
    </row>
    <row customHeight="1" ht="11.25">
      <c r="A208" s="1849" t="s">
        <v>2295</v>
      </c>
      <c r="B208" s="1849" t="s">
        <v>16</v>
      </c>
      <c r="C208" s="0" t="s">
        <v>2437</v>
      </c>
      <c r="D208" s="0" t="s">
        <v>2438</v>
      </c>
      <c r="E208" s="0" t="s">
        <v>2439</v>
      </c>
      <c r="F208" s="0" t="s">
        <v>2440</v>
      </c>
      <c r="G208" s="0" t="s">
        <v>2441</v>
      </c>
      <c r="H208" s="0" t="s">
        <v>22</v>
      </c>
      <c r="I208" s="0" t="s">
        <v>918</v>
      </c>
    </row>
    <row customHeight="1" ht="11.25">
      <c r="A209" s="1849" t="s">
        <v>2295</v>
      </c>
      <c r="B209" s="1849" t="s">
        <v>16</v>
      </c>
      <c r="C209" s="0" t="s">
        <v>2614</v>
      </c>
      <c r="D209" s="0" t="s">
        <v>2615</v>
      </c>
      <c r="E209" s="0" t="s">
        <v>2616</v>
      </c>
      <c r="F209" s="0" t="s">
        <v>2396</v>
      </c>
      <c r="G209" s="0" t="s">
        <v>2617</v>
      </c>
      <c r="H209" s="0" t="s">
        <v>22</v>
      </c>
      <c r="I209" s="0" t="s">
        <v>918</v>
      </c>
    </row>
    <row customHeight="1" ht="11.25">
      <c r="A210" s="1849" t="s">
        <v>2295</v>
      </c>
      <c r="B210" s="1849" t="s">
        <v>16</v>
      </c>
      <c r="C210" s="0" t="s">
        <v>2618</v>
      </c>
      <c r="D210" s="0" t="s">
        <v>2619</v>
      </c>
      <c r="E210" s="0" t="s">
        <v>2620</v>
      </c>
      <c r="F210" s="0" t="s">
        <v>2440</v>
      </c>
      <c r="G210" s="0" t="s">
        <v>22</v>
      </c>
      <c r="H210" s="0" t="s">
        <v>22</v>
      </c>
      <c r="I210" s="0" t="s">
        <v>918</v>
      </c>
    </row>
    <row customHeight="1" ht="11.25">
      <c r="A211" s="1849" t="s">
        <v>2295</v>
      </c>
      <c r="B211" s="1849" t="s">
        <v>16</v>
      </c>
      <c r="C211" s="0" t="s">
        <v>2621</v>
      </c>
      <c r="D211" s="0" t="s">
        <v>2622</v>
      </c>
      <c r="E211" s="0" t="s">
        <v>2623</v>
      </c>
      <c r="F211" s="0" t="s">
        <v>2307</v>
      </c>
      <c r="G211" s="0" t="s">
        <v>22</v>
      </c>
      <c r="H211" s="0" t="s">
        <v>22</v>
      </c>
      <c r="I211" s="0" t="s">
        <v>918</v>
      </c>
    </row>
    <row customHeight="1" ht="11.25">
      <c r="A212" s="1849" t="s">
        <v>2295</v>
      </c>
      <c r="B212" s="1849" t="s">
        <v>16</v>
      </c>
      <c r="C212" s="0" t="s">
        <v>2624</v>
      </c>
      <c r="D212" s="0" t="s">
        <v>2625</v>
      </c>
      <c r="E212" s="0" t="s">
        <v>2626</v>
      </c>
      <c r="F212" s="0" t="s">
        <v>2299</v>
      </c>
      <c r="G212" s="0" t="s">
        <v>22</v>
      </c>
      <c r="H212" s="0" t="s">
        <v>22</v>
      </c>
      <c r="I212" s="0" t="s">
        <v>918</v>
      </c>
    </row>
    <row customHeight="1" ht="11.25">
      <c r="A213" s="1849" t="s">
        <v>2295</v>
      </c>
      <c r="B213" s="1849" t="s">
        <v>16</v>
      </c>
      <c r="C213" s="0" t="s">
        <v>2452</v>
      </c>
      <c r="D213" s="0" t="s">
        <v>2453</v>
      </c>
      <c r="E213" s="0" t="s">
        <v>2454</v>
      </c>
      <c r="F213" s="0" t="s">
        <v>2340</v>
      </c>
      <c r="G213" s="0" t="s">
        <v>22</v>
      </c>
      <c r="H213" s="0" t="s">
        <v>22</v>
      </c>
      <c r="I213" s="0" t="s">
        <v>918</v>
      </c>
    </row>
    <row customHeight="1" ht="11.25">
      <c r="A214" s="1849" t="s">
        <v>2295</v>
      </c>
      <c r="B214" s="1849" t="s">
        <v>16</v>
      </c>
      <c r="C214" s="0" t="s">
        <v>2455</v>
      </c>
      <c r="D214" s="0" t="s">
        <v>2456</v>
      </c>
      <c r="E214" s="0" t="s">
        <v>2457</v>
      </c>
      <c r="F214" s="0" t="s">
        <v>2445</v>
      </c>
      <c r="G214" s="0" t="s">
        <v>2458</v>
      </c>
      <c r="H214" s="0" t="s">
        <v>22</v>
      </c>
      <c r="I214" s="0" t="s">
        <v>918</v>
      </c>
    </row>
    <row customHeight="1" ht="11.25">
      <c r="A215" s="1849" t="s">
        <v>2295</v>
      </c>
      <c r="B215" s="1849" t="s">
        <v>16</v>
      </c>
      <c r="C215" s="0" t="s">
        <v>2474</v>
      </c>
      <c r="D215" s="0" t="s">
        <v>2475</v>
      </c>
      <c r="E215" s="0" t="s">
        <v>2476</v>
      </c>
      <c r="F215" s="0" t="s">
        <v>2354</v>
      </c>
      <c r="G215" s="0" t="s">
        <v>22</v>
      </c>
      <c r="H215" s="0" t="s">
        <v>22</v>
      </c>
      <c r="I215" s="0" t="s">
        <v>918</v>
      </c>
    </row>
    <row customHeight="1" ht="11.25">
      <c r="A216" s="1849" t="s">
        <v>2295</v>
      </c>
      <c r="B216" s="1849" t="s">
        <v>16</v>
      </c>
      <c r="C216" s="0" t="s">
        <v>2627</v>
      </c>
      <c r="D216" s="0" t="s">
        <v>2628</v>
      </c>
      <c r="E216" s="0" t="s">
        <v>2629</v>
      </c>
      <c r="F216" s="0" t="s">
        <v>2384</v>
      </c>
      <c r="G216" s="0" t="s">
        <v>22</v>
      </c>
      <c r="H216" s="0" t="s">
        <v>22</v>
      </c>
      <c r="I216" s="0" t="s">
        <v>918</v>
      </c>
    </row>
    <row customHeight="1" ht="11.25">
      <c r="A217" s="1849" t="s">
        <v>2295</v>
      </c>
      <c r="B217" s="1849" t="s">
        <v>16</v>
      </c>
      <c r="C217" s="0" t="s">
        <v>2630</v>
      </c>
      <c r="D217" s="0" t="s">
        <v>2631</v>
      </c>
      <c r="E217" s="0" t="s">
        <v>2632</v>
      </c>
      <c r="F217" s="0" t="s">
        <v>2307</v>
      </c>
      <c r="G217" s="0" t="s">
        <v>22</v>
      </c>
      <c r="H217" s="0" t="s">
        <v>22</v>
      </c>
      <c r="I217" s="0" t="s">
        <v>918</v>
      </c>
    </row>
    <row customHeight="1" ht="11.25">
      <c r="A218" s="1849" t="s">
        <v>2295</v>
      </c>
      <c r="B218" s="1849" t="s">
        <v>16</v>
      </c>
      <c r="C218" s="0" t="s">
        <v>2484</v>
      </c>
      <c r="D218" s="0" t="s">
        <v>2485</v>
      </c>
      <c r="E218" s="0" t="s">
        <v>2486</v>
      </c>
      <c r="F218" s="0" t="s">
        <v>2299</v>
      </c>
      <c r="G218" s="0" t="s">
        <v>22</v>
      </c>
      <c r="H218" s="0" t="s">
        <v>22</v>
      </c>
      <c r="I218" s="0" t="s">
        <v>918</v>
      </c>
    </row>
    <row customHeight="1" ht="11.25">
      <c r="A219" s="1849" t="s">
        <v>2295</v>
      </c>
      <c r="B219" s="1849" t="s">
        <v>16</v>
      </c>
      <c r="C219" s="0" t="s">
        <v>2633</v>
      </c>
      <c r="D219" s="0" t="s">
        <v>2634</v>
      </c>
      <c r="E219" s="0" t="s">
        <v>2635</v>
      </c>
      <c r="F219" s="0" t="s">
        <v>2318</v>
      </c>
      <c r="G219" s="0" t="s">
        <v>2636</v>
      </c>
      <c r="H219" s="0" t="s">
        <v>22</v>
      </c>
      <c r="I219" s="0" t="s">
        <v>918</v>
      </c>
    </row>
    <row customHeight="1" ht="11.25">
      <c r="A220" s="1849" t="s">
        <v>2295</v>
      </c>
      <c r="B220" s="1849" t="s">
        <v>16</v>
      </c>
      <c r="C220" s="0" t="s">
        <v>2487</v>
      </c>
      <c r="D220" s="0" t="s">
        <v>2488</v>
      </c>
      <c r="E220" s="0" t="s">
        <v>2489</v>
      </c>
      <c r="F220" s="0" t="s">
        <v>2307</v>
      </c>
      <c r="G220" s="0" t="s">
        <v>22</v>
      </c>
      <c r="H220" s="0" t="s">
        <v>22</v>
      </c>
      <c r="I220" s="0" t="s">
        <v>918</v>
      </c>
    </row>
    <row customHeight="1" ht="11.25">
      <c r="A221" s="1849" t="s">
        <v>2295</v>
      </c>
      <c r="B221" s="1849" t="s">
        <v>16</v>
      </c>
      <c r="C221" s="0" t="s">
        <v>2490</v>
      </c>
      <c r="D221" s="0" t="s">
        <v>2491</v>
      </c>
      <c r="E221" s="0" t="s">
        <v>2492</v>
      </c>
      <c r="F221" s="0" t="s">
        <v>2299</v>
      </c>
      <c r="G221" s="0" t="s">
        <v>2493</v>
      </c>
      <c r="H221" s="0" t="s">
        <v>22</v>
      </c>
      <c r="I221" s="0" t="s">
        <v>918</v>
      </c>
    </row>
    <row customHeight="1" ht="11.25">
      <c r="A222" s="1849" t="s">
        <v>2295</v>
      </c>
      <c r="B222" s="1849" t="s">
        <v>16</v>
      </c>
      <c r="C222" s="0" t="s">
        <v>2500</v>
      </c>
      <c r="D222" s="0" t="s">
        <v>2501</v>
      </c>
      <c r="E222" s="0" t="s">
        <v>2502</v>
      </c>
      <c r="F222" s="0" t="s">
        <v>2299</v>
      </c>
      <c r="G222" s="0" t="s">
        <v>2503</v>
      </c>
      <c r="H222" s="0" t="s">
        <v>22</v>
      </c>
      <c r="I222" s="0" t="s">
        <v>918</v>
      </c>
    </row>
    <row customHeight="1" ht="11.25">
      <c r="A223" s="1849" t="s">
        <v>2295</v>
      </c>
      <c r="B223" s="1849" t="s">
        <v>16</v>
      </c>
      <c r="C223" s="0" t="s">
        <v>2520</v>
      </c>
      <c r="D223" s="0" t="s">
        <v>2521</v>
      </c>
      <c r="E223" s="0" t="s">
        <v>2522</v>
      </c>
      <c r="F223" s="0" t="s">
        <v>2358</v>
      </c>
      <c r="G223" s="0" t="s">
        <v>22</v>
      </c>
      <c r="H223" s="0" t="s">
        <v>22</v>
      </c>
      <c r="I223" s="0" t="s">
        <v>918</v>
      </c>
    </row>
    <row customHeight="1" ht="11.25">
      <c r="A224" s="1849" t="s">
        <v>2295</v>
      </c>
      <c r="B224" s="1849" t="s">
        <v>16</v>
      </c>
      <c r="C224" s="0" t="s">
        <v>2523</v>
      </c>
      <c r="D224" s="0" t="s">
        <v>2524</v>
      </c>
      <c r="E224" s="0" t="s">
        <v>2525</v>
      </c>
      <c r="F224" s="0" t="s">
        <v>2299</v>
      </c>
      <c r="G224" s="0" t="s">
        <v>2526</v>
      </c>
      <c r="H224" s="0" t="s">
        <v>22</v>
      </c>
      <c r="I224" s="0" t="s">
        <v>918</v>
      </c>
    </row>
    <row customHeight="1" ht="11.25">
      <c r="A225" s="1849" t="s">
        <v>2295</v>
      </c>
      <c r="B225" s="1849" t="s">
        <v>16</v>
      </c>
      <c r="C225" s="0" t="s">
        <v>2644</v>
      </c>
      <c r="D225" s="0" t="s">
        <v>2645</v>
      </c>
      <c r="E225" s="0" t="s">
        <v>2646</v>
      </c>
      <c r="F225" s="0" t="s">
        <v>2384</v>
      </c>
      <c r="G225" s="0" t="s">
        <v>22</v>
      </c>
      <c r="H225" s="0" t="s">
        <v>22</v>
      </c>
      <c r="I225" s="0" t="s">
        <v>918</v>
      </c>
    </row>
    <row customHeight="1" ht="11.25">
      <c r="A226" s="1849" t="s">
        <v>2295</v>
      </c>
      <c r="B226" s="1849" t="s">
        <v>16</v>
      </c>
      <c r="C226" s="0" t="s">
        <v>2530</v>
      </c>
      <c r="D226" s="0" t="s">
        <v>2531</v>
      </c>
      <c r="E226" s="0" t="s">
        <v>2532</v>
      </c>
      <c r="F226" s="0" t="s">
        <v>2299</v>
      </c>
      <c r="G226" s="0" t="s">
        <v>2533</v>
      </c>
      <c r="H226" s="0" t="s">
        <v>22</v>
      </c>
      <c r="I226" s="0" t="s">
        <v>918</v>
      </c>
    </row>
    <row customHeight="1" ht="11.25">
      <c r="A227" s="1849" t="s">
        <v>2295</v>
      </c>
      <c r="B227" s="1849" t="s">
        <v>16</v>
      </c>
      <c r="C227" s="0" t="s">
        <v>2534</v>
      </c>
      <c r="D227" s="0" t="s">
        <v>2535</v>
      </c>
      <c r="E227" s="0" t="s">
        <v>2536</v>
      </c>
      <c r="F227" s="0" t="s">
        <v>2445</v>
      </c>
      <c r="G227" s="0" t="s">
        <v>22</v>
      </c>
      <c r="H227" s="0" t="s">
        <v>22</v>
      </c>
      <c r="I227" s="0" t="s">
        <v>918</v>
      </c>
    </row>
    <row customHeight="1" ht="11.25">
      <c r="A228" s="1849" t="s">
        <v>2295</v>
      </c>
      <c r="B228" s="1849" t="s">
        <v>16</v>
      </c>
      <c r="C228" s="0" t="s">
        <v>2545</v>
      </c>
      <c r="D228" s="0" t="s">
        <v>2546</v>
      </c>
      <c r="E228" s="0" t="s">
        <v>2547</v>
      </c>
      <c r="F228" s="0" t="s">
        <v>2358</v>
      </c>
      <c r="G228" s="0" t="s">
        <v>2548</v>
      </c>
      <c r="H228" s="0" t="s">
        <v>22</v>
      </c>
      <c r="I228" s="0" t="s">
        <v>918</v>
      </c>
    </row>
    <row customHeight="1" ht="11.25">
      <c r="A229" s="1849" t="s">
        <v>2295</v>
      </c>
      <c r="B229" s="1849" t="s">
        <v>16</v>
      </c>
      <c r="C229" s="0" t="s">
        <v>22</v>
      </c>
      <c r="D229" s="0" t="s">
        <v>2558</v>
      </c>
      <c r="E229" s="0" t="s">
        <v>2559</v>
      </c>
      <c r="F229" s="0" t="s">
        <v>2299</v>
      </c>
      <c r="G229" s="0" t="s">
        <v>22</v>
      </c>
      <c r="H229" s="0" t="s">
        <v>22</v>
      </c>
      <c r="I229" s="0" t="s">
        <v>918</v>
      </c>
    </row>
    <row customHeight="1" ht="11.25">
      <c r="A230" s="1849" t="s">
        <v>2295</v>
      </c>
      <c r="B230" s="1849" t="s">
        <v>16</v>
      </c>
      <c r="C230" s="0" t="s">
        <v>2563</v>
      </c>
      <c r="D230" s="0" t="s">
        <v>2564</v>
      </c>
      <c r="E230" s="0" t="s">
        <v>2565</v>
      </c>
      <c r="F230" s="0" t="s">
        <v>2566</v>
      </c>
      <c r="G230" s="0" t="s">
        <v>22</v>
      </c>
      <c r="H230" s="0" t="s">
        <v>22</v>
      </c>
      <c r="I230" s="0" t="s">
        <v>918</v>
      </c>
    </row>
    <row customHeight="1" ht="11.25">
      <c r="A231" s="1849" t="s">
        <v>2295</v>
      </c>
      <c r="B231" s="1849" t="s">
        <v>16</v>
      </c>
      <c r="C231" s="0" t="s">
        <v>2567</v>
      </c>
      <c r="D231" s="0" t="s">
        <v>2568</v>
      </c>
      <c r="E231" s="0" t="s">
        <v>2565</v>
      </c>
      <c r="F231" s="0" t="s">
        <v>2569</v>
      </c>
      <c r="G231" s="0" t="s">
        <v>2570</v>
      </c>
      <c r="H231" s="0" t="s">
        <v>22</v>
      </c>
      <c r="I231" s="0" t="s">
        <v>918</v>
      </c>
    </row>
    <row customHeight="1" ht="11.25">
      <c r="A232" s="1849" t="s">
        <v>2295</v>
      </c>
      <c r="B232" s="1849" t="s">
        <v>16</v>
      </c>
      <c r="C232" s="0" t="s">
        <v>2656</v>
      </c>
      <c r="D232" s="0" t="s">
        <v>2657</v>
      </c>
      <c r="E232" s="0" t="s">
        <v>2658</v>
      </c>
      <c r="F232" s="0" t="s">
        <v>2299</v>
      </c>
      <c r="G232" s="0" t="s">
        <v>22</v>
      </c>
      <c r="H232" s="0" t="s">
        <v>22</v>
      </c>
      <c r="I232" s="0" t="s">
        <v>1675</v>
      </c>
    </row>
    <row customHeight="1" ht="11.25">
      <c r="A233" s="1849" t="s">
        <v>2295</v>
      </c>
      <c r="B233" s="1849" t="s">
        <v>16</v>
      </c>
      <c r="C233" s="0" t="s">
        <v>2659</v>
      </c>
      <c r="D233" s="0" t="s">
        <v>2660</v>
      </c>
      <c r="E233" s="0" t="s">
        <v>2661</v>
      </c>
      <c r="F233" s="0" t="s">
        <v>2299</v>
      </c>
      <c r="G233" s="0" t="s">
        <v>2662</v>
      </c>
      <c r="H233" s="0" t="s">
        <v>22</v>
      </c>
      <c r="I233" s="0" t="s">
        <v>1675</v>
      </c>
    </row>
    <row customHeight="1" ht="11.25">
      <c r="A234" s="1849" t="s">
        <v>2295</v>
      </c>
      <c r="B234" s="1849" t="s">
        <v>16</v>
      </c>
      <c r="C234" s="0" t="s">
        <v>2663</v>
      </c>
      <c r="D234" s="0" t="s">
        <v>2664</v>
      </c>
      <c r="E234" s="0" t="s">
        <v>2665</v>
      </c>
      <c r="F234" s="0" t="s">
        <v>568</v>
      </c>
      <c r="G234" s="0" t="s">
        <v>22</v>
      </c>
      <c r="H234" s="0" t="s">
        <v>22</v>
      </c>
      <c r="I234" s="0" t="s">
        <v>1675</v>
      </c>
    </row>
    <row customHeight="1" ht="11.25">
      <c r="A235" s="1849" t="s">
        <v>2295</v>
      </c>
      <c r="B235" s="1849" t="s">
        <v>16</v>
      </c>
      <c r="C235" s="0" t="s">
        <v>2666</v>
      </c>
      <c r="D235" s="0" t="s">
        <v>2667</v>
      </c>
      <c r="E235" s="0" t="s">
        <v>2668</v>
      </c>
      <c r="F235" s="0" t="s">
        <v>568</v>
      </c>
      <c r="G235" s="0" t="s">
        <v>22</v>
      </c>
      <c r="H235" s="0" t="s">
        <v>22</v>
      </c>
      <c r="I235" s="0" t="s">
        <v>1675</v>
      </c>
    </row>
    <row customHeight="1" ht="11.25">
      <c r="A236" s="1849" t="s">
        <v>2295</v>
      </c>
      <c r="B236" s="1849" t="s">
        <v>16</v>
      </c>
      <c r="C236" s="0" t="s">
        <v>2669</v>
      </c>
      <c r="D236" s="0" t="s">
        <v>2670</v>
      </c>
      <c r="E236" s="0" t="s">
        <v>2671</v>
      </c>
      <c r="F236" s="0" t="s">
        <v>2445</v>
      </c>
      <c r="G236" s="0" t="s">
        <v>22</v>
      </c>
      <c r="H236" s="0" t="s">
        <v>22</v>
      </c>
      <c r="I236" s="0" t="s">
        <v>1675</v>
      </c>
    </row>
    <row customHeight="1" ht="11.25">
      <c r="A237" s="1849" t="s">
        <v>2295</v>
      </c>
      <c r="B237" s="1849" t="s">
        <v>16</v>
      </c>
      <c r="C237" s="0" t="s">
        <v>2672</v>
      </c>
      <c r="D237" s="0" t="s">
        <v>2673</v>
      </c>
      <c r="E237" s="0" t="s">
        <v>2674</v>
      </c>
      <c r="F237" s="0" t="s">
        <v>2299</v>
      </c>
      <c r="G237" s="0" t="s">
        <v>22</v>
      </c>
      <c r="H237" s="0" t="s">
        <v>22</v>
      </c>
      <c r="I237" s="0" t="s">
        <v>1675</v>
      </c>
    </row>
    <row customHeight="1" ht="11.25">
      <c r="A238" s="1849" t="s">
        <v>2295</v>
      </c>
      <c r="B238" s="1849" t="s">
        <v>16</v>
      </c>
      <c r="C238" s="0" t="s">
        <v>2675</v>
      </c>
      <c r="D238" s="0" t="s">
        <v>2676</v>
      </c>
      <c r="E238" s="0" t="s">
        <v>2677</v>
      </c>
      <c r="F238" s="0" t="s">
        <v>2678</v>
      </c>
      <c r="G238" s="0" t="s">
        <v>22</v>
      </c>
      <c r="H238" s="0" t="s">
        <v>22</v>
      </c>
      <c r="I238" s="0" t="s">
        <v>1675</v>
      </c>
    </row>
    <row customHeight="1" ht="11.25">
      <c r="A239" s="1849" t="s">
        <v>2295</v>
      </c>
      <c r="B239" s="1849" t="s">
        <v>16</v>
      </c>
      <c r="C239" s="0" t="s">
        <v>2337</v>
      </c>
      <c r="D239" s="0" t="s">
        <v>2338</v>
      </c>
      <c r="E239" s="0" t="s">
        <v>2339</v>
      </c>
      <c r="F239" s="0" t="s">
        <v>2340</v>
      </c>
      <c r="G239" s="0" t="s">
        <v>22</v>
      </c>
      <c r="H239" s="0" t="s">
        <v>22</v>
      </c>
      <c r="I239" s="0" t="s">
        <v>1675</v>
      </c>
    </row>
    <row customHeight="1" ht="11.25">
      <c r="A240" s="1849" t="s">
        <v>2295</v>
      </c>
      <c r="B240" s="1849" t="s">
        <v>16</v>
      </c>
      <c r="C240" s="0" t="s">
        <v>2341</v>
      </c>
      <c r="D240" s="0" t="s">
        <v>2342</v>
      </c>
      <c r="E240" s="0" t="s">
        <v>2343</v>
      </c>
      <c r="F240" s="0" t="s">
        <v>2307</v>
      </c>
      <c r="G240" s="0" t="s">
        <v>22</v>
      </c>
      <c r="H240" s="0" t="s">
        <v>22</v>
      </c>
      <c r="I240" s="0" t="s">
        <v>1675</v>
      </c>
    </row>
    <row customHeight="1" ht="11.25">
      <c r="A241" s="1849" t="s">
        <v>2295</v>
      </c>
      <c r="B241" s="1849" t="s">
        <v>16</v>
      </c>
      <c r="C241" s="0" t="s">
        <v>2344</v>
      </c>
      <c r="D241" s="0" t="s">
        <v>2345</v>
      </c>
      <c r="E241" s="0" t="s">
        <v>2346</v>
      </c>
      <c r="F241" s="0" t="s">
        <v>2340</v>
      </c>
      <c r="G241" s="0" t="s">
        <v>22</v>
      </c>
      <c r="H241" s="0" t="s">
        <v>22</v>
      </c>
      <c r="I241" s="0" t="s">
        <v>1675</v>
      </c>
    </row>
    <row customHeight="1" ht="11.25">
      <c r="A242" s="1849" t="s">
        <v>2295</v>
      </c>
      <c r="B242" s="1849" t="s">
        <v>16</v>
      </c>
      <c r="C242" s="0" t="s">
        <v>2591</v>
      </c>
      <c r="D242" s="0" t="s">
        <v>2592</v>
      </c>
      <c r="E242" s="0" t="s">
        <v>2593</v>
      </c>
      <c r="F242" s="0" t="s">
        <v>2350</v>
      </c>
      <c r="G242" s="0" t="s">
        <v>2594</v>
      </c>
      <c r="H242" s="0" t="s">
        <v>22</v>
      </c>
      <c r="I242" s="0" t="s">
        <v>1675</v>
      </c>
    </row>
    <row customHeight="1" ht="11.25">
      <c r="A243" s="1849" t="s">
        <v>2295</v>
      </c>
      <c r="B243" s="1849" t="s">
        <v>16</v>
      </c>
      <c r="C243" s="0" t="s">
        <v>2347</v>
      </c>
      <c r="D243" s="0" t="s">
        <v>2348</v>
      </c>
      <c r="E243" s="0" t="s">
        <v>2349</v>
      </c>
      <c r="F243" s="0" t="s">
        <v>2350</v>
      </c>
      <c r="G243" s="0" t="s">
        <v>22</v>
      </c>
      <c r="H243" s="0" t="s">
        <v>22</v>
      </c>
      <c r="I243" s="0" t="s">
        <v>1675</v>
      </c>
    </row>
    <row customHeight="1" ht="11.25">
      <c r="A244" s="1849" t="s">
        <v>2295</v>
      </c>
      <c r="B244" s="1849" t="s">
        <v>16</v>
      </c>
      <c r="C244" s="0" t="s">
        <v>2601</v>
      </c>
      <c r="D244" s="0" t="s">
        <v>2602</v>
      </c>
      <c r="E244" s="0" t="s">
        <v>2603</v>
      </c>
      <c r="F244" s="0" t="s">
        <v>2354</v>
      </c>
      <c r="G244" s="0" t="s">
        <v>22</v>
      </c>
      <c r="H244" s="0" t="s">
        <v>22</v>
      </c>
      <c r="I244" s="0" t="s">
        <v>1675</v>
      </c>
    </row>
    <row customHeight="1" ht="11.25">
      <c r="A245" s="1849" t="s">
        <v>2295</v>
      </c>
      <c r="B245" s="1849" t="s">
        <v>16</v>
      </c>
      <c r="C245" s="0" t="s">
        <v>2359</v>
      </c>
      <c r="D245" s="0" t="s">
        <v>2360</v>
      </c>
      <c r="E245" s="0" t="s">
        <v>2361</v>
      </c>
      <c r="F245" s="0" t="s">
        <v>2299</v>
      </c>
      <c r="G245" s="0" t="s">
        <v>22</v>
      </c>
      <c r="H245" s="0" t="s">
        <v>22</v>
      </c>
      <c r="I245" s="0" t="s">
        <v>1675</v>
      </c>
    </row>
    <row customHeight="1" ht="11.25">
      <c r="A246" s="1849" t="s">
        <v>2295</v>
      </c>
      <c r="B246" s="1849" t="s">
        <v>16</v>
      </c>
      <c r="C246" s="0" t="s">
        <v>2679</v>
      </c>
      <c r="D246" s="0" t="s">
        <v>2680</v>
      </c>
      <c r="E246" s="0" t="s">
        <v>2681</v>
      </c>
      <c r="F246" s="0" t="s">
        <v>2423</v>
      </c>
      <c r="G246" s="0" t="s">
        <v>22</v>
      </c>
      <c r="H246" s="0" t="s">
        <v>22</v>
      </c>
      <c r="I246" s="0" t="s">
        <v>1675</v>
      </c>
    </row>
    <row customHeight="1" ht="11.25">
      <c r="A247" s="1849" t="s">
        <v>2295</v>
      </c>
      <c r="B247" s="1849" t="s">
        <v>16</v>
      </c>
      <c r="C247" s="0" t="s">
        <v>2362</v>
      </c>
      <c r="D247" s="0" t="s">
        <v>2363</v>
      </c>
      <c r="E247" s="0" t="s">
        <v>2364</v>
      </c>
      <c r="F247" s="0" t="s">
        <v>2365</v>
      </c>
      <c r="G247" s="0" t="s">
        <v>2366</v>
      </c>
      <c r="H247" s="0" t="s">
        <v>22</v>
      </c>
      <c r="I247" s="0" t="s">
        <v>1675</v>
      </c>
    </row>
    <row customHeight="1" ht="11.25">
      <c r="A248" s="1849" t="s">
        <v>2295</v>
      </c>
      <c r="B248" s="1849" t="s">
        <v>16</v>
      </c>
      <c r="C248" s="0" t="s">
        <v>2370</v>
      </c>
      <c r="D248" s="0" t="s">
        <v>2371</v>
      </c>
      <c r="E248" s="0" t="s">
        <v>2372</v>
      </c>
      <c r="F248" s="0" t="s">
        <v>2373</v>
      </c>
      <c r="G248" s="0" t="s">
        <v>2374</v>
      </c>
      <c r="H248" s="0" t="s">
        <v>22</v>
      </c>
      <c r="I248" s="0" t="s">
        <v>1675</v>
      </c>
    </row>
    <row customHeight="1" ht="11.25">
      <c r="A249" s="1849" t="s">
        <v>2295</v>
      </c>
      <c r="B249" s="1849" t="s">
        <v>16</v>
      </c>
      <c r="C249" s="0" t="s">
        <v>2682</v>
      </c>
      <c r="D249" s="0" t="s">
        <v>2683</v>
      </c>
      <c r="E249" s="0" t="s">
        <v>2684</v>
      </c>
      <c r="F249" s="0" t="s">
        <v>2322</v>
      </c>
      <c r="G249" s="0" t="s">
        <v>22</v>
      </c>
      <c r="H249" s="0" t="s">
        <v>22</v>
      </c>
      <c r="I249" s="0" t="s">
        <v>1675</v>
      </c>
    </row>
    <row customHeight="1" ht="11.25">
      <c r="A250" s="1849" t="s">
        <v>2295</v>
      </c>
      <c r="B250" s="1849" t="s">
        <v>16</v>
      </c>
      <c r="C250" s="0" t="s">
        <v>2401</v>
      </c>
      <c r="D250" s="0" t="s">
        <v>2402</v>
      </c>
      <c r="E250" s="0" t="s">
        <v>2403</v>
      </c>
      <c r="F250" s="0" t="s">
        <v>2340</v>
      </c>
      <c r="G250" s="0" t="s">
        <v>2404</v>
      </c>
      <c r="H250" s="0" t="s">
        <v>22</v>
      </c>
      <c r="I250" s="0" t="s">
        <v>1675</v>
      </c>
    </row>
    <row customHeight="1" ht="11.25">
      <c r="A251" s="1849" t="s">
        <v>2295</v>
      </c>
      <c r="B251" s="1849" t="s">
        <v>16</v>
      </c>
      <c r="C251" s="0" t="s">
        <v>2685</v>
      </c>
      <c r="D251" s="0" t="s">
        <v>2686</v>
      </c>
      <c r="E251" s="0" t="s">
        <v>2687</v>
      </c>
      <c r="F251" s="0" t="s">
        <v>2440</v>
      </c>
      <c r="G251" s="0" t="s">
        <v>2688</v>
      </c>
      <c r="H251" s="0" t="s">
        <v>22</v>
      </c>
      <c r="I251" s="0" t="s">
        <v>1675</v>
      </c>
    </row>
    <row customHeight="1" ht="11.25">
      <c r="A252" s="1849" t="s">
        <v>2295</v>
      </c>
      <c r="B252" s="1849" t="s">
        <v>16</v>
      </c>
      <c r="C252" s="0" t="s">
        <v>2427</v>
      </c>
      <c r="D252" s="0" t="s">
        <v>2428</v>
      </c>
      <c r="E252" s="0" t="s">
        <v>2429</v>
      </c>
      <c r="F252" s="0" t="s">
        <v>2358</v>
      </c>
      <c r="G252" s="0" t="s">
        <v>22</v>
      </c>
      <c r="H252" s="0" t="s">
        <v>22</v>
      </c>
      <c r="I252" s="0" t="s">
        <v>1675</v>
      </c>
    </row>
    <row customHeight="1" ht="11.25">
      <c r="A253" s="1849" t="s">
        <v>2295</v>
      </c>
      <c r="B253" s="1849" t="s">
        <v>16</v>
      </c>
      <c r="C253" s="0" t="s">
        <v>2689</v>
      </c>
      <c r="D253" s="0" t="s">
        <v>2690</v>
      </c>
      <c r="E253" s="0" t="s">
        <v>2691</v>
      </c>
      <c r="F253" s="0" t="s">
        <v>2299</v>
      </c>
      <c r="G253" s="0" t="s">
        <v>22</v>
      </c>
      <c r="H253" s="0" t="s">
        <v>22</v>
      </c>
      <c r="I253" s="0" t="s">
        <v>1675</v>
      </c>
    </row>
    <row customHeight="1" ht="11.25">
      <c r="A254" s="1849" t="s">
        <v>2295</v>
      </c>
      <c r="B254" s="1849" t="s">
        <v>16</v>
      </c>
      <c r="C254" s="0" t="s">
        <v>2692</v>
      </c>
      <c r="D254" s="0" t="s">
        <v>2693</v>
      </c>
      <c r="E254" s="0" t="s">
        <v>2694</v>
      </c>
      <c r="F254" s="0" t="s">
        <v>2365</v>
      </c>
      <c r="G254" s="0" t="s">
        <v>22</v>
      </c>
      <c r="H254" s="0" t="s">
        <v>22</v>
      </c>
      <c r="I254" s="0" t="s">
        <v>1675</v>
      </c>
    </row>
    <row customHeight="1" ht="11.25">
      <c r="A255" s="1849" t="s">
        <v>2295</v>
      </c>
      <c r="B255" s="1849" t="s">
        <v>16</v>
      </c>
      <c r="C255" s="0" t="s">
        <v>2695</v>
      </c>
      <c r="D255" s="0" t="s">
        <v>2696</v>
      </c>
      <c r="E255" s="0" t="s">
        <v>2697</v>
      </c>
      <c r="F255" s="0" t="s">
        <v>2314</v>
      </c>
      <c r="G255" s="0" t="s">
        <v>22</v>
      </c>
      <c r="H255" s="0" t="s">
        <v>22</v>
      </c>
      <c r="I255" s="0" t="s">
        <v>1675</v>
      </c>
    </row>
    <row customHeight="1" ht="11.25">
      <c r="A256" s="1849" t="s">
        <v>2295</v>
      </c>
      <c r="B256" s="1849" t="s">
        <v>16</v>
      </c>
      <c r="C256" s="0" t="s">
        <v>2698</v>
      </c>
      <c r="D256" s="0" t="s">
        <v>2699</v>
      </c>
      <c r="E256" s="0" t="s">
        <v>2700</v>
      </c>
      <c r="F256" s="0" t="s">
        <v>2445</v>
      </c>
      <c r="G256" s="0" t="s">
        <v>22</v>
      </c>
      <c r="H256" s="0" t="s">
        <v>22</v>
      </c>
      <c r="I256" s="0" t="s">
        <v>1675</v>
      </c>
    </row>
    <row customHeight="1" ht="11.25">
      <c r="A257" s="1849" t="s">
        <v>2295</v>
      </c>
      <c r="B257" s="1849" t="s">
        <v>16</v>
      </c>
      <c r="C257" s="0" t="s">
        <v>2701</v>
      </c>
      <c r="D257" s="0" t="s">
        <v>2702</v>
      </c>
      <c r="E257" s="0" t="s">
        <v>2703</v>
      </c>
      <c r="F257" s="0" t="s">
        <v>2299</v>
      </c>
      <c r="G257" s="0" t="s">
        <v>22</v>
      </c>
      <c r="H257" s="0" t="s">
        <v>22</v>
      </c>
      <c r="I257" s="0" t="s">
        <v>1675</v>
      </c>
    </row>
    <row customHeight="1" ht="11.25">
      <c r="A258" s="1849" t="s">
        <v>2295</v>
      </c>
      <c r="B258" s="1849" t="s">
        <v>16</v>
      </c>
      <c r="C258" s="0" t="s">
        <v>2704</v>
      </c>
      <c r="D258" s="0" t="s">
        <v>2705</v>
      </c>
      <c r="E258" s="0" t="s">
        <v>2706</v>
      </c>
      <c r="F258" s="0" t="s">
        <v>2707</v>
      </c>
      <c r="G258" s="0" t="s">
        <v>22</v>
      </c>
      <c r="H258" s="0" t="s">
        <v>22</v>
      </c>
      <c r="I258" s="0" t="s">
        <v>1675</v>
      </c>
    </row>
    <row customHeight="1" ht="11.25">
      <c r="A259" s="1849" t="s">
        <v>2295</v>
      </c>
      <c r="B259" s="1849" t="s">
        <v>16</v>
      </c>
      <c r="C259" s="0" t="s">
        <v>2708</v>
      </c>
      <c r="D259" s="0" t="s">
        <v>2709</v>
      </c>
      <c r="E259" s="0" t="s">
        <v>2710</v>
      </c>
      <c r="F259" s="0" t="s">
        <v>2307</v>
      </c>
      <c r="G259" s="0" t="s">
        <v>22</v>
      </c>
      <c r="H259" s="0" t="s">
        <v>22</v>
      </c>
      <c r="I259" s="0" t="s">
        <v>1675</v>
      </c>
    </row>
    <row customHeight="1" ht="11.25">
      <c r="A260" s="1849" t="s">
        <v>2295</v>
      </c>
      <c r="B260" s="1849" t="s">
        <v>16</v>
      </c>
      <c r="C260" s="0" t="s">
        <v>2711</v>
      </c>
      <c r="D260" s="0" t="s">
        <v>2712</v>
      </c>
      <c r="E260" s="0" t="s">
        <v>2713</v>
      </c>
      <c r="F260" s="0" t="s">
        <v>2318</v>
      </c>
      <c r="G260" s="0" t="s">
        <v>22</v>
      </c>
      <c r="H260" s="0" t="s">
        <v>22</v>
      </c>
      <c r="I260" s="0" t="s">
        <v>1675</v>
      </c>
    </row>
    <row customHeight="1" ht="11.25">
      <c r="A261" s="1849" t="s">
        <v>2295</v>
      </c>
      <c r="B261" s="1849" t="s">
        <v>16</v>
      </c>
      <c r="C261" s="0" t="s">
        <v>2714</v>
      </c>
      <c r="D261" s="0" t="s">
        <v>2715</v>
      </c>
      <c r="E261" s="0" t="s">
        <v>2716</v>
      </c>
      <c r="F261" s="0" t="s">
        <v>2373</v>
      </c>
      <c r="G261" s="0" t="s">
        <v>22</v>
      </c>
      <c r="H261" s="0" t="s">
        <v>22</v>
      </c>
      <c r="I261" s="0" t="s">
        <v>1675</v>
      </c>
    </row>
    <row customHeight="1" ht="11.25">
      <c r="A262" s="1849" t="s">
        <v>2295</v>
      </c>
      <c r="B262" s="1849" t="s">
        <v>16</v>
      </c>
      <c r="C262" s="0" t="s">
        <v>2717</v>
      </c>
      <c r="D262" s="0" t="s">
        <v>2718</v>
      </c>
      <c r="E262" s="0" t="s">
        <v>2719</v>
      </c>
      <c r="F262" s="0" t="s">
        <v>2314</v>
      </c>
      <c r="G262" s="0" t="s">
        <v>22</v>
      </c>
      <c r="H262" s="0" t="s">
        <v>22</v>
      </c>
      <c r="I262" s="0" t="s">
        <v>1675</v>
      </c>
    </row>
    <row customHeight="1" ht="11.25">
      <c r="A263" s="1849" t="s">
        <v>2295</v>
      </c>
      <c r="B263" s="1849" t="s">
        <v>16</v>
      </c>
      <c r="C263" s="0" t="s">
        <v>2720</v>
      </c>
      <c r="D263" s="0" t="s">
        <v>2721</v>
      </c>
      <c r="E263" s="0" t="s">
        <v>2722</v>
      </c>
      <c r="F263" s="0" t="s">
        <v>2396</v>
      </c>
      <c r="G263" s="0" t="s">
        <v>2723</v>
      </c>
      <c r="H263" s="0" t="s">
        <v>22</v>
      </c>
      <c r="I263" s="0" t="s">
        <v>1675</v>
      </c>
    </row>
    <row customHeight="1" ht="11.25">
      <c r="A264" s="1849" t="s">
        <v>2295</v>
      </c>
      <c r="B264" s="1849" t="s">
        <v>16</v>
      </c>
      <c r="C264" s="0" t="s">
        <v>2724</v>
      </c>
      <c r="D264" s="0" t="s">
        <v>2725</v>
      </c>
      <c r="E264" s="0" t="s">
        <v>2726</v>
      </c>
      <c r="F264" s="0" t="s">
        <v>2299</v>
      </c>
      <c r="G264" s="0" t="s">
        <v>22</v>
      </c>
      <c r="H264" s="0" t="s">
        <v>22</v>
      </c>
      <c r="I264" s="0" t="s">
        <v>1675</v>
      </c>
    </row>
    <row customHeight="1" ht="11.25">
      <c r="A265" s="1849" t="s">
        <v>2295</v>
      </c>
      <c r="B265" s="1849" t="s">
        <v>16</v>
      </c>
      <c r="C265" s="0" t="s">
        <v>2727</v>
      </c>
      <c r="D265" s="0" t="s">
        <v>2728</v>
      </c>
      <c r="E265" s="0" t="s">
        <v>2729</v>
      </c>
      <c r="F265" s="0" t="s">
        <v>2299</v>
      </c>
      <c r="G265" s="0" t="s">
        <v>22</v>
      </c>
      <c r="H265" s="0" t="s">
        <v>22</v>
      </c>
      <c r="I265" s="0" t="s">
        <v>1675</v>
      </c>
    </row>
    <row customHeight="1" ht="11.25">
      <c r="A266" s="1849" t="s">
        <v>2295</v>
      </c>
      <c r="B266" s="1849" t="s">
        <v>16</v>
      </c>
      <c r="C266" s="0" t="s">
        <v>2730</v>
      </c>
      <c r="D266" s="0" t="s">
        <v>2731</v>
      </c>
      <c r="E266" s="0" t="s">
        <v>2732</v>
      </c>
      <c r="F266" s="0" t="s">
        <v>2307</v>
      </c>
      <c r="G266" s="0" t="s">
        <v>22</v>
      </c>
      <c r="H266" s="0" t="s">
        <v>22</v>
      </c>
      <c r="I266" s="0" t="s">
        <v>1675</v>
      </c>
    </row>
    <row customHeight="1" ht="11.25">
      <c r="A267" s="1849" t="s">
        <v>2295</v>
      </c>
      <c r="B267" s="1849" t="s">
        <v>16</v>
      </c>
      <c r="C267" s="0" t="s">
        <v>2733</v>
      </c>
      <c r="D267" s="0" t="s">
        <v>2734</v>
      </c>
      <c r="E267" s="0" t="s">
        <v>2735</v>
      </c>
      <c r="F267" s="0" t="s">
        <v>2307</v>
      </c>
      <c r="G267" s="0" t="s">
        <v>22</v>
      </c>
      <c r="H267" s="0" t="s">
        <v>22</v>
      </c>
      <c r="I267" s="0" t="s">
        <v>1675</v>
      </c>
    </row>
    <row customHeight="1" ht="11.25">
      <c r="A268" s="1849" t="s">
        <v>2295</v>
      </c>
      <c r="B268" s="1849" t="s">
        <v>16</v>
      </c>
      <c r="C268" s="0" t="s">
        <v>2736</v>
      </c>
      <c r="D268" s="0" t="s">
        <v>2737</v>
      </c>
      <c r="E268" s="0" t="s">
        <v>2738</v>
      </c>
      <c r="F268" s="0" t="s">
        <v>2299</v>
      </c>
      <c r="G268" s="0" t="s">
        <v>22</v>
      </c>
      <c r="H268" s="0" t="s">
        <v>22</v>
      </c>
      <c r="I268" s="0" t="s">
        <v>1675</v>
      </c>
    </row>
    <row customHeight="1" ht="11.25">
      <c r="A269" s="1849" t="s">
        <v>2295</v>
      </c>
      <c r="B269" s="1849" t="s">
        <v>16</v>
      </c>
      <c r="C269" s="0" t="s">
        <v>2739</v>
      </c>
      <c r="D269" s="0" t="s">
        <v>2740</v>
      </c>
      <c r="E269" s="0" t="s">
        <v>2741</v>
      </c>
      <c r="F269" s="0" t="s">
        <v>2299</v>
      </c>
      <c r="G269" s="0" t="s">
        <v>22</v>
      </c>
      <c r="H269" s="0" t="s">
        <v>22</v>
      </c>
      <c r="I269" s="0" t="s">
        <v>1675</v>
      </c>
    </row>
    <row customHeight="1" ht="11.25">
      <c r="A270" s="1849" t="s">
        <v>2295</v>
      </c>
      <c r="B270" s="1849" t="s">
        <v>16</v>
      </c>
      <c r="C270" s="0" t="s">
        <v>2742</v>
      </c>
      <c r="D270" s="0" t="s">
        <v>2743</v>
      </c>
      <c r="E270" s="0" t="s">
        <v>2744</v>
      </c>
      <c r="F270" s="0" t="s">
        <v>2299</v>
      </c>
      <c r="G270" s="0" t="s">
        <v>22</v>
      </c>
      <c r="H270" s="0" t="s">
        <v>22</v>
      </c>
      <c r="I270" s="0" t="s">
        <v>1675</v>
      </c>
    </row>
    <row customHeight="1" ht="11.25">
      <c r="A271" s="1849" t="s">
        <v>2295</v>
      </c>
      <c r="B271" s="1849" t="s">
        <v>16</v>
      </c>
      <c r="C271" s="0" t="s">
        <v>2745</v>
      </c>
      <c r="D271" s="0" t="s">
        <v>2746</v>
      </c>
      <c r="E271" s="0" t="s">
        <v>2747</v>
      </c>
      <c r="F271" s="0" t="s">
        <v>2396</v>
      </c>
      <c r="G271" s="0" t="s">
        <v>22</v>
      </c>
      <c r="H271" s="0" t="s">
        <v>22</v>
      </c>
      <c r="I271" s="0" t="s">
        <v>1675</v>
      </c>
    </row>
    <row customHeight="1" ht="11.25">
      <c r="A272" s="1849" t="s">
        <v>2295</v>
      </c>
      <c r="B272" s="1849" t="s">
        <v>16</v>
      </c>
      <c r="C272" s="0" t="s">
        <v>2545</v>
      </c>
      <c r="D272" s="0" t="s">
        <v>2546</v>
      </c>
      <c r="E272" s="0" t="s">
        <v>2547</v>
      </c>
      <c r="F272" s="0" t="s">
        <v>2358</v>
      </c>
      <c r="G272" s="0" t="s">
        <v>2548</v>
      </c>
      <c r="H272" s="0" t="s">
        <v>22</v>
      </c>
      <c r="I272" s="0" t="s">
        <v>1675</v>
      </c>
    </row>
    <row customHeight="1" ht="11.25">
      <c r="A273" s="1849" t="s">
        <v>2295</v>
      </c>
      <c r="B273" s="1849" t="s">
        <v>16</v>
      </c>
      <c r="C273" s="0" t="s">
        <v>22</v>
      </c>
      <c r="D273" s="0" t="s">
        <v>2558</v>
      </c>
      <c r="E273" s="0" t="s">
        <v>2559</v>
      </c>
      <c r="F273" s="0" t="s">
        <v>2299</v>
      </c>
      <c r="G273" s="0" t="s">
        <v>22</v>
      </c>
      <c r="H273" s="0" t="s">
        <v>22</v>
      </c>
      <c r="I273" s="0" t="s">
        <v>1675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BFFC08-DC98-4938-4EF8-25850E89C068}" mc:Ignorable="x14ac xr xr2 xr3">
  <sheetPr>
    <tabColor rgb="FFFFCC99"/>
  </sheetPr>
  <dimension ref="A1:G36"/>
  <sheetViews>
    <sheetView topLeftCell="A1" showGridLines="0" workbookViewId="0">
      <selection activeCell="A1" sqref="A1"/>
    </sheetView>
  </sheetViews>
  <sheetFormatPr customHeight="1" defaultRowHeight="11.25"/>
  <cols>
    <col min="1" max="1" style="1849" width="9.140625"/>
  </cols>
  <sheetData>
    <row customHeight="1" ht="11.25">
      <c r="A1" s="375" t="s">
        <v>2748</v>
      </c>
      <c r="B1" s="66" t="s">
        <v>2749</v>
      </c>
      <c r="C1" s="64" t="s">
        <v>2750</v>
      </c>
      <c r="D1" s="64" t="s">
        <v>2751</v>
      </c>
      <c r="E1" s="64" t="s">
        <v>2752</v>
      </c>
      <c r="F1" s="64" t="s">
        <v>2753</v>
      </c>
      <c r="G1" s="64" t="s">
        <v>2754</v>
      </c>
    </row>
    <row customHeight="1" ht="11.25">
      <c r="A2" s="375" t="s">
        <v>16</v>
      </c>
      <c r="B2" s="0" t="s">
        <v>2755</v>
      </c>
      <c r="C2" s="0" t="s">
        <v>2756</v>
      </c>
      <c r="D2" s="0" t="s">
        <v>2755</v>
      </c>
      <c r="E2" s="0" t="s">
        <v>2756</v>
      </c>
      <c r="F2" s="0" t="s">
        <v>2757</v>
      </c>
      <c r="G2" s="0" t="s">
        <v>106</v>
      </c>
    </row>
    <row customHeight="1" ht="11.25">
      <c r="A3" s="1849" t="s">
        <v>16</v>
      </c>
      <c r="B3" s="0" t="s">
        <v>2758</v>
      </c>
      <c r="C3" s="0" t="s">
        <v>2759</v>
      </c>
      <c r="D3" s="0" t="s">
        <v>2758</v>
      </c>
      <c r="E3" s="0" t="s">
        <v>2759</v>
      </c>
      <c r="F3" s="0" t="s">
        <v>2757</v>
      </c>
      <c r="G3" s="0" t="s">
        <v>107</v>
      </c>
    </row>
    <row customHeight="1" ht="11.25">
      <c r="A4" s="1849" t="s">
        <v>16</v>
      </c>
      <c r="B4" s="0" t="s">
        <v>2760</v>
      </c>
      <c r="C4" s="0" t="s">
        <v>2761</v>
      </c>
      <c r="D4" s="0" t="s">
        <v>2760</v>
      </c>
      <c r="E4" s="0" t="s">
        <v>2761</v>
      </c>
      <c r="F4" s="0" t="s">
        <v>2757</v>
      </c>
      <c r="G4" s="0" t="s">
        <v>90</v>
      </c>
    </row>
    <row customHeight="1" ht="11.25">
      <c r="A5" s="1849" t="s">
        <v>16</v>
      </c>
      <c r="B5" s="0" t="s">
        <v>2762</v>
      </c>
      <c r="C5" s="0" t="s">
        <v>2763</v>
      </c>
      <c r="D5" s="0" t="s">
        <v>2762</v>
      </c>
      <c r="E5" s="0" t="s">
        <v>2763</v>
      </c>
      <c r="F5" s="0" t="s">
        <v>2757</v>
      </c>
      <c r="G5" s="0" t="s">
        <v>91</v>
      </c>
    </row>
    <row customHeight="1" ht="11.25">
      <c r="A6" s="1849" t="s">
        <v>16</v>
      </c>
      <c r="B6" s="0" t="s">
        <v>2764</v>
      </c>
      <c r="C6" s="0" t="s">
        <v>2765</v>
      </c>
      <c r="D6" s="0" t="s">
        <v>2764</v>
      </c>
      <c r="E6" s="0" t="s">
        <v>2765</v>
      </c>
      <c r="F6" s="0" t="s">
        <v>2757</v>
      </c>
      <c r="G6" s="0" t="s">
        <v>108</v>
      </c>
    </row>
    <row customHeight="1" ht="11.25">
      <c r="A7" s="1849" t="s">
        <v>16</v>
      </c>
      <c r="B7" s="0" t="s">
        <v>2766</v>
      </c>
      <c r="C7" s="0" t="s">
        <v>2767</v>
      </c>
      <c r="D7" s="0" t="s">
        <v>2766</v>
      </c>
      <c r="E7" s="0" t="s">
        <v>2767</v>
      </c>
      <c r="F7" s="0" t="s">
        <v>2757</v>
      </c>
      <c r="G7" s="0" t="s">
        <v>92</v>
      </c>
    </row>
    <row customHeight="1" ht="11.25">
      <c r="A8" s="1849" t="s">
        <v>16</v>
      </c>
      <c r="B8" s="0" t="s">
        <v>2768</v>
      </c>
      <c r="C8" s="0" t="s">
        <v>2769</v>
      </c>
      <c r="D8" s="0" t="s">
        <v>2768</v>
      </c>
      <c r="E8" s="0" t="s">
        <v>2769</v>
      </c>
      <c r="F8" s="0" t="s">
        <v>2757</v>
      </c>
      <c r="G8" s="0" t="s">
        <v>93</v>
      </c>
    </row>
    <row customHeight="1" ht="11.25">
      <c r="A9" s="1849" t="s">
        <v>16</v>
      </c>
      <c r="B9" s="0" t="s">
        <v>2770</v>
      </c>
      <c r="C9" s="0" t="s">
        <v>2771</v>
      </c>
      <c r="D9" s="0" t="s">
        <v>2770</v>
      </c>
      <c r="E9" s="0" t="s">
        <v>2771</v>
      </c>
      <c r="F9" s="0" t="s">
        <v>2757</v>
      </c>
      <c r="G9" s="0" t="s">
        <v>109</v>
      </c>
    </row>
    <row customHeight="1" ht="11.25">
      <c r="A10" s="1849" t="s">
        <v>16</v>
      </c>
      <c r="B10" s="0" t="s">
        <v>2772</v>
      </c>
      <c r="C10" s="0" t="s">
        <v>2773</v>
      </c>
      <c r="D10" s="0" t="s">
        <v>2772</v>
      </c>
      <c r="E10" s="0" t="s">
        <v>2773</v>
      </c>
      <c r="F10" s="0" t="s">
        <v>2757</v>
      </c>
      <c r="G10" s="0" t="s">
        <v>145</v>
      </c>
    </row>
    <row customHeight="1" ht="11.25">
      <c r="A11" s="1849" t="s">
        <v>16</v>
      </c>
      <c r="B11" s="0" t="s">
        <v>2774</v>
      </c>
      <c r="C11" s="0" t="s">
        <v>2775</v>
      </c>
      <c r="D11" s="0" t="s">
        <v>2774</v>
      </c>
      <c r="E11" s="0" t="s">
        <v>2775</v>
      </c>
      <c r="F11" s="0" t="s">
        <v>2757</v>
      </c>
      <c r="G11" s="0" t="s">
        <v>146</v>
      </c>
    </row>
    <row customHeight="1" ht="11.25">
      <c r="A12" s="1849" t="s">
        <v>16</v>
      </c>
      <c r="B12" s="0" t="s">
        <v>2776</v>
      </c>
      <c r="C12" s="0" t="s">
        <v>2777</v>
      </c>
      <c r="D12" s="0" t="s">
        <v>2776</v>
      </c>
      <c r="E12" s="0" t="s">
        <v>2777</v>
      </c>
      <c r="F12" s="0" t="s">
        <v>2757</v>
      </c>
      <c r="G12" s="0" t="s">
        <v>147</v>
      </c>
    </row>
    <row customHeight="1" ht="11.25">
      <c r="A13" s="1849" t="s">
        <v>16</v>
      </c>
      <c r="B13" s="0" t="s">
        <v>2778</v>
      </c>
      <c r="C13" s="0" t="s">
        <v>2779</v>
      </c>
      <c r="D13" s="0" t="s">
        <v>2778</v>
      </c>
      <c r="E13" s="0" t="s">
        <v>2779</v>
      </c>
      <c r="F13" s="0" t="s">
        <v>2757</v>
      </c>
      <c r="G13" s="0" t="s">
        <v>148</v>
      </c>
    </row>
    <row customHeight="1" ht="11.25">
      <c r="A14" s="1849" t="s">
        <v>16</v>
      </c>
      <c r="B14" s="0" t="s">
        <v>2780</v>
      </c>
      <c r="C14" s="0" t="s">
        <v>2781</v>
      </c>
      <c r="D14" s="0" t="s">
        <v>2780</v>
      </c>
      <c r="E14" s="0" t="s">
        <v>2781</v>
      </c>
      <c r="F14" s="0" t="s">
        <v>2757</v>
      </c>
      <c r="G14" s="0" t="s">
        <v>149</v>
      </c>
    </row>
    <row customHeight="1" ht="11.25">
      <c r="A15" s="1849" t="s">
        <v>16</v>
      </c>
      <c r="B15" s="0" t="s">
        <v>2782</v>
      </c>
      <c r="C15" s="0" t="s">
        <v>2783</v>
      </c>
      <c r="D15" s="0" t="s">
        <v>2782</v>
      </c>
      <c r="E15" s="0" t="s">
        <v>2783</v>
      </c>
      <c r="F15" s="0" t="s">
        <v>2757</v>
      </c>
      <c r="G15" s="0" t="s">
        <v>150</v>
      </c>
    </row>
    <row customHeight="1" ht="11.25">
      <c r="A16" s="1849" t="s">
        <v>16</v>
      </c>
      <c r="B16" s="0" t="s">
        <v>2784</v>
      </c>
      <c r="C16" s="0" t="s">
        <v>2785</v>
      </c>
      <c r="D16" s="0" t="s">
        <v>2784</v>
      </c>
      <c r="E16" s="0" t="s">
        <v>2785</v>
      </c>
      <c r="F16" s="0" t="s">
        <v>2757</v>
      </c>
      <c r="G16" s="0" t="s">
        <v>1519</v>
      </c>
    </row>
    <row customHeight="1" ht="11.25">
      <c r="A17" s="1849" t="s">
        <v>16</v>
      </c>
      <c r="B17" s="0" t="s">
        <v>2786</v>
      </c>
      <c r="C17" s="0" t="s">
        <v>2787</v>
      </c>
      <c r="D17" s="0" t="s">
        <v>2786</v>
      </c>
      <c r="E17" s="0" t="s">
        <v>2787</v>
      </c>
      <c r="F17" s="0" t="s">
        <v>2757</v>
      </c>
      <c r="G17" s="0" t="s">
        <v>1525</v>
      </c>
    </row>
    <row customHeight="1" ht="11.25">
      <c r="A18" s="1849" t="s">
        <v>16</v>
      </c>
      <c r="B18" s="0" t="s">
        <v>2788</v>
      </c>
      <c r="C18" s="0" t="s">
        <v>2789</v>
      </c>
      <c r="D18" s="0" t="s">
        <v>2788</v>
      </c>
      <c r="E18" s="0" t="s">
        <v>2789</v>
      </c>
      <c r="F18" s="0" t="s">
        <v>2757</v>
      </c>
      <c r="G18" s="0" t="s">
        <v>1537</v>
      </c>
    </row>
    <row customHeight="1" ht="11.25">
      <c r="A19" s="1849" t="s">
        <v>16</v>
      </c>
      <c r="B19" s="0" t="s">
        <v>2790</v>
      </c>
      <c r="C19" s="0" t="s">
        <v>2791</v>
      </c>
      <c r="D19" s="0" t="s">
        <v>2790</v>
      </c>
      <c r="E19" s="0" t="s">
        <v>2791</v>
      </c>
      <c r="F19" s="0" t="s">
        <v>2757</v>
      </c>
      <c r="G19" s="0" t="s">
        <v>1551</v>
      </c>
    </row>
    <row customHeight="1" ht="11.25">
      <c r="A20" s="1849" t="s">
        <v>16</v>
      </c>
      <c r="B20" s="0" t="s">
        <v>2792</v>
      </c>
      <c r="C20" s="0" t="s">
        <v>2793</v>
      </c>
      <c r="D20" s="0" t="s">
        <v>2792</v>
      </c>
      <c r="E20" s="0" t="s">
        <v>2793</v>
      </c>
      <c r="F20" s="0" t="s">
        <v>2794</v>
      </c>
      <c r="G20" s="0" t="s">
        <v>1563</v>
      </c>
    </row>
    <row customHeight="1" ht="11.25">
      <c r="A21" s="1849" t="s">
        <v>16</v>
      </c>
      <c r="B21" s="0" t="s">
        <v>2795</v>
      </c>
      <c r="C21" s="0" t="s">
        <v>2796</v>
      </c>
      <c r="D21" s="0" t="s">
        <v>2795</v>
      </c>
      <c r="E21" s="0" t="s">
        <v>2796</v>
      </c>
      <c r="F21" s="0" t="s">
        <v>2794</v>
      </c>
      <c r="G21" s="0" t="s">
        <v>1572</v>
      </c>
    </row>
    <row customHeight="1" ht="11.25">
      <c r="A22" s="1849" t="s">
        <v>16</v>
      </c>
      <c r="B22" s="0" t="s">
        <v>2797</v>
      </c>
      <c r="C22" s="0" t="s">
        <v>2798</v>
      </c>
      <c r="D22" s="0" t="s">
        <v>2797</v>
      </c>
      <c r="E22" s="0" t="s">
        <v>2798</v>
      </c>
      <c r="F22" s="0" t="s">
        <v>2794</v>
      </c>
      <c r="G22" s="0" t="s">
        <v>1588</v>
      </c>
    </row>
    <row customHeight="1" ht="11.25">
      <c r="A23" s="1849" t="s">
        <v>16</v>
      </c>
      <c r="B23" s="0" t="s">
        <v>2799</v>
      </c>
      <c r="C23" s="0" t="s">
        <v>2800</v>
      </c>
      <c r="D23" s="0" t="s">
        <v>2799</v>
      </c>
      <c r="E23" s="0" t="s">
        <v>2800</v>
      </c>
      <c r="F23" s="0" t="s">
        <v>2794</v>
      </c>
      <c r="G23" s="0" t="s">
        <v>1595</v>
      </c>
    </row>
    <row customHeight="1" ht="11.25">
      <c r="A24" s="1849" t="s">
        <v>16</v>
      </c>
      <c r="B24" s="0" t="s">
        <v>2801</v>
      </c>
      <c r="C24" s="0" t="s">
        <v>2802</v>
      </c>
      <c r="D24" s="0" t="s">
        <v>2801</v>
      </c>
      <c r="E24" s="0" t="s">
        <v>2802</v>
      </c>
      <c r="F24" s="0" t="s">
        <v>2794</v>
      </c>
      <c r="G24" s="0" t="s">
        <v>1603</v>
      </c>
    </row>
    <row customHeight="1" ht="11.25">
      <c r="A25" s="1849" t="s">
        <v>16</v>
      </c>
      <c r="B25" s="0" t="s">
        <v>2803</v>
      </c>
      <c r="C25" s="0" t="s">
        <v>2804</v>
      </c>
      <c r="D25" s="0" t="s">
        <v>2803</v>
      </c>
      <c r="E25" s="0" t="s">
        <v>2804</v>
      </c>
      <c r="F25" s="0" t="s">
        <v>2794</v>
      </c>
      <c r="G25" s="0" t="s">
        <v>1609</v>
      </c>
    </row>
    <row customHeight="1" ht="11.25">
      <c r="A26" s="1849" t="s">
        <v>16</v>
      </c>
      <c r="B26" s="0" t="s">
        <v>1044</v>
      </c>
      <c r="C26" s="0" t="s">
        <v>1045</v>
      </c>
      <c r="D26" s="0" t="s">
        <v>1044</v>
      </c>
      <c r="E26" s="0" t="s">
        <v>1045</v>
      </c>
      <c r="F26" s="0" t="s">
        <v>2794</v>
      </c>
      <c r="G26" s="0" t="s">
        <v>1613</v>
      </c>
    </row>
    <row customHeight="1" ht="11.25">
      <c r="A27" s="1849" t="s">
        <v>16</v>
      </c>
      <c r="B27" s="0" t="s">
        <v>2805</v>
      </c>
      <c r="C27" s="0" t="s">
        <v>2806</v>
      </c>
      <c r="D27" s="0" t="s">
        <v>2805</v>
      </c>
      <c r="E27" s="0" t="s">
        <v>2806</v>
      </c>
      <c r="F27" s="0" t="s">
        <v>2794</v>
      </c>
      <c r="G27" s="0" t="s">
        <v>1618</v>
      </c>
    </row>
    <row customHeight="1" ht="11.25">
      <c r="A28" s="1849" t="s">
        <v>16</v>
      </c>
      <c r="B28" s="0" t="s">
        <v>2807</v>
      </c>
      <c r="C28" s="0" t="s">
        <v>2808</v>
      </c>
      <c r="D28" s="0" t="s">
        <v>2807</v>
      </c>
      <c r="E28" s="0" t="s">
        <v>2808</v>
      </c>
      <c r="F28" s="0" t="s">
        <v>2794</v>
      </c>
      <c r="G28" s="0" t="s">
        <v>1626</v>
      </c>
    </row>
    <row customHeight="1" ht="11.25">
      <c r="A29" s="1849" t="s">
        <v>16</v>
      </c>
      <c r="B29" s="0" t="s">
        <v>2809</v>
      </c>
      <c r="C29" s="0" t="s">
        <v>2810</v>
      </c>
      <c r="D29" s="0" t="s">
        <v>2809</v>
      </c>
      <c r="E29" s="0" t="s">
        <v>2810</v>
      </c>
      <c r="F29" s="0" t="s">
        <v>2794</v>
      </c>
      <c r="G29" s="0" t="s">
        <v>1628</v>
      </c>
    </row>
    <row customHeight="1" ht="11.25">
      <c r="A30" s="1849" t="s">
        <v>16</v>
      </c>
      <c r="B30" s="0" t="s">
        <v>2811</v>
      </c>
      <c r="C30" s="0" t="s">
        <v>2812</v>
      </c>
      <c r="D30" s="0" t="s">
        <v>2811</v>
      </c>
      <c r="E30" s="0" t="s">
        <v>2812</v>
      </c>
      <c r="F30" s="0" t="s">
        <v>2794</v>
      </c>
      <c r="G30" s="0" t="s">
        <v>1631</v>
      </c>
    </row>
    <row customHeight="1" ht="11.25">
      <c r="A31" s="1849" t="s">
        <v>16</v>
      </c>
      <c r="B31" s="0" t="s">
        <v>2813</v>
      </c>
      <c r="C31" s="0" t="s">
        <v>2814</v>
      </c>
      <c r="D31" s="0" t="s">
        <v>2813</v>
      </c>
      <c r="E31" s="0" t="s">
        <v>2814</v>
      </c>
      <c r="F31" s="0" t="s">
        <v>2794</v>
      </c>
      <c r="G31" s="0" t="s">
        <v>1637</v>
      </c>
    </row>
    <row customHeight="1" ht="11.25">
      <c r="A32" s="1849" t="s">
        <v>16</v>
      </c>
      <c r="B32" s="0" t="s">
        <v>2815</v>
      </c>
      <c r="C32" s="0" t="s">
        <v>2816</v>
      </c>
      <c r="D32" s="0" t="s">
        <v>2815</v>
      </c>
      <c r="E32" s="0" t="s">
        <v>2816</v>
      </c>
      <c r="F32" s="0" t="s">
        <v>2794</v>
      </c>
      <c r="G32" s="0" t="s">
        <v>1639</v>
      </c>
    </row>
    <row customHeight="1" ht="11.25">
      <c r="A33" s="1849" t="s">
        <v>16</v>
      </c>
      <c r="B33" s="0" t="s">
        <v>2817</v>
      </c>
      <c r="C33" s="0" t="s">
        <v>2818</v>
      </c>
      <c r="D33" s="0" t="s">
        <v>2817</v>
      </c>
      <c r="E33" s="0" t="s">
        <v>2818</v>
      </c>
      <c r="F33" s="0" t="s">
        <v>2794</v>
      </c>
      <c r="G33" s="0" t="s">
        <v>1641</v>
      </c>
    </row>
    <row customHeight="1" ht="11.25">
      <c r="A34" s="1849" t="s">
        <v>16</v>
      </c>
      <c r="B34" s="0" t="s">
        <v>2819</v>
      </c>
      <c r="C34" s="0" t="s">
        <v>2820</v>
      </c>
      <c r="D34" s="0" t="s">
        <v>2819</v>
      </c>
      <c r="E34" s="0" t="s">
        <v>2820</v>
      </c>
      <c r="F34" s="0" t="s">
        <v>2794</v>
      </c>
      <c r="G34" s="0" t="s">
        <v>1643</v>
      </c>
    </row>
    <row customHeight="1" ht="11.25">
      <c r="A35" s="1849" t="s">
        <v>16</v>
      </c>
      <c r="B35" s="0" t="s">
        <v>2821</v>
      </c>
      <c r="C35" s="0" t="s">
        <v>2822</v>
      </c>
      <c r="D35" s="0" t="s">
        <v>2821</v>
      </c>
      <c r="E35" s="0" t="s">
        <v>2822</v>
      </c>
      <c r="F35" s="0" t="s">
        <v>2794</v>
      </c>
      <c r="G35" s="0" t="s">
        <v>1648</v>
      </c>
    </row>
    <row customHeight="1" ht="11.25">
      <c r="A36" s="1849" t="s">
        <v>16</v>
      </c>
      <c r="B36" s="0" t="s">
        <v>2823</v>
      </c>
      <c r="C36" s="0" t="s">
        <v>2824</v>
      </c>
      <c r="D36" s="0" t="s">
        <v>2823</v>
      </c>
      <c r="E36" s="0" t="s">
        <v>2824</v>
      </c>
      <c r="F36" s="0" t="s">
        <v>2794</v>
      </c>
      <c r="G36" s="0" t="s">
        <v>1653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E7F2B8-2C48-9F77-E378-205063706AD8}" mc:Ignorable="x14ac xr xr2 xr3">
  <sheetPr>
    <tabColor rgb="FFFFCC99"/>
  </sheetPr>
  <dimension ref="A1:I2"/>
  <sheetViews>
    <sheetView topLeftCell="A1" showGridLines="0" workbookViewId="0">
      <selection activeCell="A1" sqref="A1"/>
    </sheetView>
  </sheetViews>
  <sheetFormatPr defaultColWidth="9.140625" customHeight="1" defaultRowHeight="11.25"/>
  <cols>
    <col min="1" max="1" style="1692" width="13.8515625" customWidth="1"/>
  </cols>
  <sheetData>
    <row customHeight="1" ht="11.25">
      <c r="A1" s="837" t="s">
        <v>2825</v>
      </c>
      <c r="B1" s="64" t="s">
        <v>2826</v>
      </c>
      <c r="C1" s="64" t="s">
        <v>2827</v>
      </c>
      <c r="D1" s="64" t="s">
        <v>2828</v>
      </c>
      <c r="E1" s="64" t="s">
        <v>2829</v>
      </c>
      <c r="F1" s="64" t="s">
        <v>2830</v>
      </c>
      <c r="G1" s="64" t="s">
        <v>2831</v>
      </c>
      <c r="H1" s="64" t="s">
        <v>2832</v>
      </c>
      <c r="I1" s="64" t="s">
        <v>2833</v>
      </c>
    </row>
    <row customHeight="1" ht="11.25">
      <c r="A2" s="1692" t="s">
        <v>106</v>
      </c>
      <c r="B2" s="0" t="s">
        <v>995</v>
      </c>
      <c r="C2" s="0" t="s">
        <v>2834</v>
      </c>
      <c r="D2" s="0" t="s">
        <v>999</v>
      </c>
      <c r="E2" s="0" t="s">
        <v>1000</v>
      </c>
      <c r="F2" s="0" t="s">
        <v>1001</v>
      </c>
      <c r="G2" s="0" t="s">
        <v>1002</v>
      </c>
      <c r="H2" s="0" t="s">
        <v>1003</v>
      </c>
      <c r="I2" s="0" t="s">
        <v>1004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05281-9CD8-B776-27F2-AF23E24CDF68}" mc:Ignorable="x14ac xr xr2 xr3">
  <sheetPr>
    <tabColor rgb="FFFFCC99"/>
  </sheetPr>
  <dimension ref="A1:AK15"/>
  <sheetViews>
    <sheetView topLeftCell="A1" workbookViewId="0">
      <selection activeCell="A1" sqref="A1"/>
    </sheetView>
  </sheetViews>
  <sheetFormatPr customHeight="1" defaultRowHeight="11.25"/>
  <sheetData>
    <row customHeight="1" ht="11.25">
      <c r="A1" s="0" t="s">
        <v>2289</v>
      </c>
      <c r="B1" s="0" t="s">
        <v>2290</v>
      </c>
      <c r="C1" s="0" t="s">
        <v>2291</v>
      </c>
      <c r="D1" s="0" t="s">
        <v>2835</v>
      </c>
      <c r="E1" s="0" t="s">
        <v>2836</v>
      </c>
      <c r="F1" s="0" t="s">
        <v>2837</v>
      </c>
      <c r="G1" s="0" t="s">
        <v>2838</v>
      </c>
      <c r="H1" s="0" t="s">
        <v>2839</v>
      </c>
      <c r="I1" s="0" t="s">
        <v>2840</v>
      </c>
      <c r="J1" s="0" t="s">
        <v>2841</v>
      </c>
      <c r="K1" s="0" t="s">
        <v>2842</v>
      </c>
      <c r="L1" s="0" t="s">
        <v>2843</v>
      </c>
      <c r="M1" s="0" t="s">
        <v>2844</v>
      </c>
      <c r="N1" s="0" t="s">
        <v>2845</v>
      </c>
      <c r="O1" s="0" t="s">
        <v>2749</v>
      </c>
      <c r="P1" s="0" t="s">
        <v>2751</v>
      </c>
      <c r="Q1" s="0" t="s">
        <v>2752</v>
      </c>
      <c r="R1" s="0" t="s">
        <v>2846</v>
      </c>
      <c r="S1" s="0" t="s">
        <v>2847</v>
      </c>
      <c r="T1" s="0" t="s">
        <v>2848</v>
      </c>
      <c r="U1" s="0" t="s">
        <v>2849</v>
      </c>
      <c r="V1" s="0" t="s">
        <v>2850</v>
      </c>
      <c r="W1" s="0" t="s">
        <v>2851</v>
      </c>
      <c r="X1" s="0" t="s">
        <v>2852</v>
      </c>
      <c r="Y1" s="0" t="s">
        <v>2853</v>
      </c>
      <c r="Z1" s="0" t="s">
        <v>2854</v>
      </c>
      <c r="AA1" s="0" t="s">
        <v>2855</v>
      </c>
      <c r="AB1" s="0" t="s">
        <v>2856</v>
      </c>
      <c r="AC1" s="0" t="s">
        <v>2857</v>
      </c>
      <c r="AD1" s="0" t="s">
        <v>2858</v>
      </c>
      <c r="AE1" s="0" t="s">
        <v>2859</v>
      </c>
      <c r="AF1" s="0" t="s">
        <v>2860</v>
      </c>
      <c r="AG1" s="0" t="s">
        <v>2861</v>
      </c>
      <c r="AH1" s="0" t="s">
        <v>2862</v>
      </c>
      <c r="AI1" s="0" t="s">
        <v>2863</v>
      </c>
      <c r="AJ1" s="0" t="s">
        <v>2864</v>
      </c>
      <c r="AK1" s="0" t="s">
        <v>2865</v>
      </c>
    </row>
    <row customHeight="1" ht="11.25">
      <c r="A2" s="0" t="s">
        <v>22</v>
      </c>
      <c r="B2" s="0" t="s">
        <v>49</v>
      </c>
      <c r="C2" s="0" t="s">
        <v>51</v>
      </c>
      <c r="D2" s="0" t="s">
        <v>22</v>
      </c>
      <c r="E2" s="0" t="s">
        <v>1042</v>
      </c>
      <c r="F2" s="0" t="s">
        <v>1056</v>
      </c>
      <c r="G2" s="0" t="s">
        <v>1044</v>
      </c>
      <c r="H2" s="0" t="s">
        <v>1044</v>
      </c>
      <c r="I2" s="0" t="s">
        <v>1045</v>
      </c>
      <c r="J2" s="0" t="s">
        <v>2866</v>
      </c>
      <c r="K2" s="0" t="s">
        <v>2867</v>
      </c>
      <c r="L2" s="0" t="s">
        <v>2868</v>
      </c>
      <c r="M2" s="0" t="s">
        <v>765</v>
      </c>
      <c r="N2" s="0" t="s">
        <v>106</v>
      </c>
      <c r="O2" s="0" t="s">
        <v>1044</v>
      </c>
      <c r="P2" s="0" t="s">
        <v>1044</v>
      </c>
      <c r="Q2" s="0" t="s">
        <v>1045</v>
      </c>
      <c r="R2" s="0" t="s">
        <v>2866</v>
      </c>
      <c r="S2" s="0" t="s">
        <v>2867</v>
      </c>
      <c r="T2" s="0" t="s">
        <v>2869</v>
      </c>
      <c r="U2" s="0" t="s">
        <v>2870</v>
      </c>
      <c r="V2" s="0" t="s">
        <v>2871</v>
      </c>
      <c r="W2" s="0" t="s">
        <v>2872</v>
      </c>
      <c r="X2" s="0" t="s">
        <v>2873</v>
      </c>
      <c r="Y2" s="0" t="s">
        <v>2870</v>
      </c>
      <c r="Z2" s="0" t="s">
        <v>2874</v>
      </c>
      <c r="AA2" s="0" t="s">
        <v>2875</v>
      </c>
      <c r="AB2" s="0" t="s">
        <v>2871</v>
      </c>
      <c r="AC2" s="0" t="s">
        <v>65</v>
      </c>
      <c r="AD2" s="0" t="s">
        <v>19</v>
      </c>
      <c r="AE2" s="0" t="s">
        <v>65</v>
      </c>
      <c r="AF2" s="0" t="s">
        <v>1613</v>
      </c>
      <c r="AG2" s="0" t="s">
        <v>1613</v>
      </c>
      <c r="AH2" s="0" t="s">
        <v>22</v>
      </c>
      <c r="AI2" s="0" t="s">
        <v>22</v>
      </c>
      <c r="AJ2" s="0" t="s">
        <v>1613</v>
      </c>
      <c r="AK2" s="0" t="s">
        <v>1613</v>
      </c>
    </row>
    <row customHeight="1" ht="11.25">
      <c r="A3" s="0" t="s">
        <v>22</v>
      </c>
      <c r="B3" s="0" t="s">
        <v>49</v>
      </c>
      <c r="C3" s="0" t="s">
        <v>51</v>
      </c>
      <c r="D3" s="0" t="s">
        <v>22</v>
      </c>
      <c r="E3" s="0" t="s">
        <v>1042</v>
      </c>
      <c r="F3" s="0" t="s">
        <v>1056</v>
      </c>
      <c r="G3" s="0" t="s">
        <v>1044</v>
      </c>
      <c r="H3" s="0" t="s">
        <v>1044</v>
      </c>
      <c r="I3" s="0" t="s">
        <v>1045</v>
      </c>
      <c r="J3" s="0" t="s">
        <v>2866</v>
      </c>
      <c r="K3" s="0" t="s">
        <v>2867</v>
      </c>
      <c r="L3" s="0" t="s">
        <v>2868</v>
      </c>
      <c r="M3" s="0" t="s">
        <v>765</v>
      </c>
      <c r="N3" s="0" t="s">
        <v>106</v>
      </c>
      <c r="O3" s="0" t="s">
        <v>1044</v>
      </c>
      <c r="P3" s="0" t="s">
        <v>1044</v>
      </c>
      <c r="Q3" s="0" t="s">
        <v>1045</v>
      </c>
      <c r="R3" s="0" t="s">
        <v>2866</v>
      </c>
      <c r="S3" s="0" t="s">
        <v>2867</v>
      </c>
      <c r="T3" s="0" t="s">
        <v>2869</v>
      </c>
      <c r="U3" s="0" t="s">
        <v>2870</v>
      </c>
      <c r="V3" s="0" t="s">
        <v>2871</v>
      </c>
      <c r="W3" s="0" t="s">
        <v>2872</v>
      </c>
      <c r="X3" s="0" t="s">
        <v>2873</v>
      </c>
      <c r="Y3" s="0" t="s">
        <v>2870</v>
      </c>
      <c r="Z3" s="0" t="s">
        <v>2874</v>
      </c>
      <c r="AA3" s="0" t="s">
        <v>2875</v>
      </c>
      <c r="AB3" s="0" t="s">
        <v>2871</v>
      </c>
      <c r="AC3" s="0" t="s">
        <v>65</v>
      </c>
      <c r="AD3" s="0" t="s">
        <v>19</v>
      </c>
      <c r="AE3" s="0" t="s">
        <v>65</v>
      </c>
      <c r="AF3" s="0" t="s">
        <v>1613</v>
      </c>
      <c r="AG3" s="0" t="s">
        <v>1613</v>
      </c>
      <c r="AH3" s="0" t="s">
        <v>22</v>
      </c>
      <c r="AI3" s="0" t="s">
        <v>22</v>
      </c>
      <c r="AJ3" s="0" t="s">
        <v>1613</v>
      </c>
      <c r="AK3" s="0" t="s">
        <v>1613</v>
      </c>
    </row>
    <row customHeight="1" ht="11.25">
      <c r="A4" s="0" t="s">
        <v>22</v>
      </c>
      <c r="B4" s="0" t="s">
        <v>49</v>
      </c>
      <c r="C4" s="0" t="s">
        <v>51</v>
      </c>
      <c r="D4" s="0" t="s">
        <v>22</v>
      </c>
      <c r="E4" s="0" t="s">
        <v>1042</v>
      </c>
      <c r="F4" s="0" t="s">
        <v>1043</v>
      </c>
      <c r="G4" s="0" t="s">
        <v>1044</v>
      </c>
      <c r="H4" s="0" t="s">
        <v>1044</v>
      </c>
      <c r="I4" s="0" t="s">
        <v>1045</v>
      </c>
      <c r="J4" s="0" t="s">
        <v>1046</v>
      </c>
      <c r="K4" s="0" t="s">
        <v>1047</v>
      </c>
      <c r="L4" s="0" t="s">
        <v>1048</v>
      </c>
      <c r="M4" s="0" t="s">
        <v>765</v>
      </c>
      <c r="N4" s="0" t="s">
        <v>106</v>
      </c>
      <c r="O4" s="0" t="s">
        <v>1044</v>
      </c>
      <c r="P4" s="0" t="s">
        <v>1044</v>
      </c>
      <c r="Q4" s="0" t="s">
        <v>1045</v>
      </c>
      <c r="R4" s="0" t="s">
        <v>1046</v>
      </c>
      <c r="S4" s="0" t="s">
        <v>1047</v>
      </c>
      <c r="T4" s="0" t="s">
        <v>2869</v>
      </c>
      <c r="U4" s="0" t="s">
        <v>2870</v>
      </c>
      <c r="V4" s="0" t="s">
        <v>2871</v>
      </c>
      <c r="W4" s="0" t="s">
        <v>2872</v>
      </c>
      <c r="X4" s="0" t="s">
        <v>2873</v>
      </c>
      <c r="Y4" s="0" t="s">
        <v>2870</v>
      </c>
      <c r="Z4" s="0" t="s">
        <v>2874</v>
      </c>
      <c r="AA4" s="0" t="s">
        <v>2875</v>
      </c>
      <c r="AB4" s="0" t="s">
        <v>2871</v>
      </c>
      <c r="AC4" s="0" t="s">
        <v>19</v>
      </c>
      <c r="AD4" s="0" t="s">
        <v>19</v>
      </c>
      <c r="AE4" s="0" t="s">
        <v>65</v>
      </c>
      <c r="AF4" s="0" t="s">
        <v>22</v>
      </c>
      <c r="AG4" s="0" t="s">
        <v>22</v>
      </c>
      <c r="AH4" s="0" t="s">
        <v>22</v>
      </c>
      <c r="AI4" s="0" t="s">
        <v>22</v>
      </c>
      <c r="AJ4" s="0" t="s">
        <v>2876</v>
      </c>
      <c r="AK4" s="0" t="s">
        <v>2876</v>
      </c>
    </row>
    <row customHeight="1" ht="11.25">
      <c r="A5" s="0" t="s">
        <v>22</v>
      </c>
      <c r="B5" s="0" t="s">
        <v>49</v>
      </c>
      <c r="C5" s="0" t="s">
        <v>51</v>
      </c>
      <c r="D5" s="0" t="s">
        <v>22</v>
      </c>
      <c r="E5" s="0" t="s">
        <v>1042</v>
      </c>
      <c r="F5" s="0" t="s">
        <v>1043</v>
      </c>
      <c r="G5" s="0" t="s">
        <v>1044</v>
      </c>
      <c r="H5" s="0" t="s">
        <v>1044</v>
      </c>
      <c r="I5" s="0" t="s">
        <v>1045</v>
      </c>
      <c r="J5" s="0" t="s">
        <v>1046</v>
      </c>
      <c r="K5" s="0" t="s">
        <v>1047</v>
      </c>
      <c r="L5" s="0" t="s">
        <v>1048</v>
      </c>
      <c r="M5" s="0" t="s">
        <v>765</v>
      </c>
      <c r="N5" s="0" t="s">
        <v>106</v>
      </c>
      <c r="O5" s="0" t="s">
        <v>1044</v>
      </c>
      <c r="P5" s="0" t="s">
        <v>1044</v>
      </c>
      <c r="Q5" s="0" t="s">
        <v>1045</v>
      </c>
      <c r="R5" s="0" t="s">
        <v>1046</v>
      </c>
      <c r="S5" s="0" t="s">
        <v>1047</v>
      </c>
      <c r="T5" s="0" t="s">
        <v>2869</v>
      </c>
      <c r="U5" s="0" t="s">
        <v>2870</v>
      </c>
      <c r="V5" s="0" t="s">
        <v>2871</v>
      </c>
      <c r="W5" s="0" t="s">
        <v>2872</v>
      </c>
      <c r="X5" s="0" t="s">
        <v>2873</v>
      </c>
      <c r="Y5" s="0" t="s">
        <v>2870</v>
      </c>
      <c r="Z5" s="0" t="s">
        <v>2874</v>
      </c>
      <c r="AA5" s="0" t="s">
        <v>2875</v>
      </c>
      <c r="AB5" s="0" t="s">
        <v>2871</v>
      </c>
      <c r="AC5" s="0" t="s">
        <v>19</v>
      </c>
      <c r="AD5" s="0" t="s">
        <v>19</v>
      </c>
      <c r="AE5" s="0" t="s">
        <v>65</v>
      </c>
      <c r="AF5" s="0" t="s">
        <v>22</v>
      </c>
      <c r="AG5" s="0" t="s">
        <v>22</v>
      </c>
      <c r="AH5" s="0" t="s">
        <v>22</v>
      </c>
      <c r="AI5" s="0" t="s">
        <v>22</v>
      </c>
      <c r="AJ5" s="0" t="s">
        <v>2876</v>
      </c>
      <c r="AK5" s="0" t="s">
        <v>2876</v>
      </c>
    </row>
    <row customHeight="1" ht="11.25">
      <c r="A6" s="0" t="s">
        <v>22</v>
      </c>
      <c r="B6" s="0" t="s">
        <v>49</v>
      </c>
      <c r="C6" s="0" t="s">
        <v>51</v>
      </c>
      <c r="D6" s="0" t="s">
        <v>22</v>
      </c>
      <c r="E6" s="0" t="s">
        <v>2877</v>
      </c>
      <c r="F6" s="0" t="s">
        <v>2878</v>
      </c>
      <c r="G6" s="0" t="s">
        <v>1044</v>
      </c>
      <c r="H6" s="0" t="s">
        <v>1044</v>
      </c>
      <c r="I6" s="0" t="s">
        <v>1045</v>
      </c>
      <c r="J6" s="0" t="s">
        <v>2879</v>
      </c>
      <c r="K6" s="0" t="s">
        <v>2880</v>
      </c>
      <c r="L6" s="0" t="s">
        <v>765</v>
      </c>
      <c r="M6" s="0" t="s">
        <v>765</v>
      </c>
      <c r="N6" s="0" t="s">
        <v>106</v>
      </c>
      <c r="O6" s="0" t="s">
        <v>1044</v>
      </c>
      <c r="P6" s="0" t="s">
        <v>1044</v>
      </c>
      <c r="Q6" s="0" t="s">
        <v>1045</v>
      </c>
      <c r="R6" s="0" t="s">
        <v>2879</v>
      </c>
      <c r="S6" s="0" t="s">
        <v>2880</v>
      </c>
      <c r="T6" s="0" t="s">
        <v>2869</v>
      </c>
      <c r="U6" s="0" t="s">
        <v>2870</v>
      </c>
      <c r="V6" s="0" t="s">
        <v>2871</v>
      </c>
      <c r="W6" s="0" t="s">
        <v>2872</v>
      </c>
      <c r="X6" s="0" t="s">
        <v>2873</v>
      </c>
      <c r="Y6" s="0" t="s">
        <v>2870</v>
      </c>
      <c r="Z6" s="0" t="s">
        <v>2874</v>
      </c>
      <c r="AA6" s="0" t="s">
        <v>2875</v>
      </c>
      <c r="AB6" s="0" t="s">
        <v>2871</v>
      </c>
      <c r="AC6" s="0" t="s">
        <v>19</v>
      </c>
      <c r="AD6" s="0" t="s">
        <v>65</v>
      </c>
      <c r="AE6" s="0" t="s">
        <v>65</v>
      </c>
      <c r="AF6" s="0" t="s">
        <v>22</v>
      </c>
      <c r="AG6" s="0" t="s">
        <v>22</v>
      </c>
      <c r="AH6" s="0" t="s">
        <v>2881</v>
      </c>
      <c r="AI6" s="0" t="s">
        <v>2881</v>
      </c>
      <c r="AJ6" s="0" t="s">
        <v>2882</v>
      </c>
      <c r="AK6" s="0" t="s">
        <v>2882</v>
      </c>
    </row>
    <row customHeight="1" ht="11.25">
      <c r="A7" s="0" t="s">
        <v>22</v>
      </c>
      <c r="B7" s="0" t="s">
        <v>49</v>
      </c>
      <c r="C7" s="0" t="s">
        <v>51</v>
      </c>
      <c r="D7" s="0" t="s">
        <v>22</v>
      </c>
      <c r="E7" s="0" t="s">
        <v>2877</v>
      </c>
      <c r="F7" s="0" t="s">
        <v>2878</v>
      </c>
      <c r="G7" s="0" t="s">
        <v>1044</v>
      </c>
      <c r="H7" s="0" t="s">
        <v>1044</v>
      </c>
      <c r="I7" s="0" t="s">
        <v>1045</v>
      </c>
      <c r="J7" s="0" t="s">
        <v>2879</v>
      </c>
      <c r="K7" s="0" t="s">
        <v>2880</v>
      </c>
      <c r="L7" s="0" t="s">
        <v>765</v>
      </c>
      <c r="M7" s="0" t="s">
        <v>765</v>
      </c>
      <c r="N7" s="0" t="s">
        <v>106</v>
      </c>
      <c r="O7" s="0" t="s">
        <v>1044</v>
      </c>
      <c r="P7" s="0" t="s">
        <v>1044</v>
      </c>
      <c r="Q7" s="0" t="s">
        <v>1045</v>
      </c>
      <c r="R7" s="0" t="s">
        <v>2879</v>
      </c>
      <c r="S7" s="0" t="s">
        <v>2880</v>
      </c>
      <c r="T7" s="0" t="s">
        <v>2869</v>
      </c>
      <c r="U7" s="0" t="s">
        <v>2870</v>
      </c>
      <c r="V7" s="0" t="s">
        <v>2871</v>
      </c>
      <c r="W7" s="0" t="s">
        <v>2872</v>
      </c>
      <c r="X7" s="0" t="s">
        <v>2873</v>
      </c>
      <c r="Y7" s="0" t="s">
        <v>2870</v>
      </c>
      <c r="Z7" s="0" t="s">
        <v>2874</v>
      </c>
      <c r="AA7" s="0" t="s">
        <v>2875</v>
      </c>
      <c r="AB7" s="0" t="s">
        <v>2871</v>
      </c>
      <c r="AC7" s="0" t="s">
        <v>19</v>
      </c>
      <c r="AD7" s="0" t="s">
        <v>65</v>
      </c>
      <c r="AE7" s="0" t="s">
        <v>65</v>
      </c>
      <c r="AF7" s="0" t="s">
        <v>22</v>
      </c>
      <c r="AG7" s="0" t="s">
        <v>22</v>
      </c>
      <c r="AH7" s="0" t="s">
        <v>2881</v>
      </c>
      <c r="AI7" s="0" t="s">
        <v>2881</v>
      </c>
      <c r="AJ7" s="0" t="s">
        <v>2882</v>
      </c>
      <c r="AK7" s="0" t="s">
        <v>2882</v>
      </c>
    </row>
    <row customHeight="1" ht="11.25">
      <c r="A8" s="0" t="s">
        <v>22</v>
      </c>
      <c r="B8" s="0" t="s">
        <v>49</v>
      </c>
      <c r="C8" s="0" t="s">
        <v>51</v>
      </c>
      <c r="D8" s="0" t="s">
        <v>22</v>
      </c>
      <c r="E8" s="0" t="s">
        <v>2883</v>
      </c>
      <c r="F8" s="0" t="s">
        <v>1056</v>
      </c>
      <c r="G8" s="0" t="s">
        <v>1044</v>
      </c>
      <c r="H8" s="0" t="s">
        <v>1044</v>
      </c>
      <c r="I8" s="0" t="s">
        <v>1045</v>
      </c>
      <c r="J8" s="0" t="s">
        <v>2884</v>
      </c>
      <c r="K8" s="0" t="s">
        <v>2885</v>
      </c>
      <c r="L8" s="0" t="s">
        <v>2886</v>
      </c>
      <c r="M8" s="0" t="s">
        <v>146</v>
      </c>
      <c r="N8" s="0" t="s">
        <v>106</v>
      </c>
      <c r="O8" s="0" t="s">
        <v>1044</v>
      </c>
      <c r="P8" s="0" t="s">
        <v>1044</v>
      </c>
      <c r="Q8" s="0" t="s">
        <v>1045</v>
      </c>
      <c r="R8" s="0" t="s">
        <v>2884</v>
      </c>
      <c r="S8" s="0" t="s">
        <v>2885</v>
      </c>
      <c r="T8" s="0" t="s">
        <v>2869</v>
      </c>
      <c r="U8" s="0" t="s">
        <v>2870</v>
      </c>
      <c r="V8" s="0" t="s">
        <v>2871</v>
      </c>
      <c r="W8" s="0" t="s">
        <v>2872</v>
      </c>
      <c r="X8" s="0" t="s">
        <v>2873</v>
      </c>
      <c r="Y8" s="0" t="s">
        <v>2870</v>
      </c>
      <c r="Z8" s="0" t="s">
        <v>2874</v>
      </c>
      <c r="AA8" s="0" t="s">
        <v>2875</v>
      </c>
      <c r="AB8" s="0" t="s">
        <v>2871</v>
      </c>
      <c r="AC8" s="0" t="s">
        <v>65</v>
      </c>
      <c r="AD8" s="0" t="s">
        <v>19</v>
      </c>
      <c r="AE8" s="0" t="s">
        <v>65</v>
      </c>
      <c r="AF8" s="0" t="s">
        <v>149</v>
      </c>
      <c r="AG8" s="0" t="s">
        <v>149</v>
      </c>
      <c r="AH8" s="0" t="s">
        <v>22</v>
      </c>
      <c r="AI8" s="0" t="s">
        <v>22</v>
      </c>
      <c r="AJ8" s="0" t="s">
        <v>2887</v>
      </c>
      <c r="AK8" s="0" t="s">
        <v>2887</v>
      </c>
    </row>
    <row customHeight="1" ht="11.25">
      <c r="A9" s="0" t="s">
        <v>22</v>
      </c>
      <c r="B9" s="0" t="s">
        <v>49</v>
      </c>
      <c r="C9" s="0" t="s">
        <v>51</v>
      </c>
      <c r="D9" s="0" t="s">
        <v>22</v>
      </c>
      <c r="E9" s="0" t="s">
        <v>2883</v>
      </c>
      <c r="F9" s="0" t="s">
        <v>1056</v>
      </c>
      <c r="G9" s="0" t="s">
        <v>1044</v>
      </c>
      <c r="H9" s="0" t="s">
        <v>1044</v>
      </c>
      <c r="I9" s="0" t="s">
        <v>1045</v>
      </c>
      <c r="J9" s="0" t="s">
        <v>2884</v>
      </c>
      <c r="K9" s="0" t="s">
        <v>2885</v>
      </c>
      <c r="L9" s="0" t="s">
        <v>2886</v>
      </c>
      <c r="M9" s="0" t="s">
        <v>146</v>
      </c>
      <c r="N9" s="0" t="s">
        <v>106</v>
      </c>
      <c r="O9" s="0" t="s">
        <v>1044</v>
      </c>
      <c r="P9" s="0" t="s">
        <v>1044</v>
      </c>
      <c r="Q9" s="0" t="s">
        <v>1045</v>
      </c>
      <c r="R9" s="0" t="s">
        <v>2884</v>
      </c>
      <c r="S9" s="0" t="s">
        <v>2885</v>
      </c>
      <c r="T9" s="0" t="s">
        <v>2869</v>
      </c>
      <c r="U9" s="0" t="s">
        <v>2870</v>
      </c>
      <c r="V9" s="0" t="s">
        <v>2871</v>
      </c>
      <c r="W9" s="0" t="s">
        <v>2872</v>
      </c>
      <c r="X9" s="0" t="s">
        <v>2873</v>
      </c>
      <c r="Y9" s="0" t="s">
        <v>2870</v>
      </c>
      <c r="Z9" s="0" t="s">
        <v>2874</v>
      </c>
      <c r="AA9" s="0" t="s">
        <v>2875</v>
      </c>
      <c r="AB9" s="0" t="s">
        <v>2871</v>
      </c>
      <c r="AC9" s="0" t="s">
        <v>65</v>
      </c>
      <c r="AD9" s="0" t="s">
        <v>19</v>
      </c>
      <c r="AE9" s="0" t="s">
        <v>65</v>
      </c>
      <c r="AF9" s="0" t="s">
        <v>149</v>
      </c>
      <c r="AG9" s="0" t="s">
        <v>149</v>
      </c>
      <c r="AH9" s="0" t="s">
        <v>22</v>
      </c>
      <c r="AI9" s="0" t="s">
        <v>22</v>
      </c>
      <c r="AJ9" s="0" t="s">
        <v>2887</v>
      </c>
      <c r="AK9" s="0" t="s">
        <v>2887</v>
      </c>
    </row>
    <row customHeight="1" ht="11.25">
      <c r="A10" s="0" t="s">
        <v>22</v>
      </c>
      <c r="B10" s="0" t="s">
        <v>49</v>
      </c>
      <c r="C10" s="0" t="s">
        <v>51</v>
      </c>
      <c r="D10" s="0" t="s">
        <v>22</v>
      </c>
      <c r="E10" s="0" t="s">
        <v>1055</v>
      </c>
      <c r="F10" s="0" t="s">
        <v>1056</v>
      </c>
      <c r="G10" s="0" t="s">
        <v>1044</v>
      </c>
      <c r="H10" s="0" t="s">
        <v>1044</v>
      </c>
      <c r="I10" s="0" t="s">
        <v>1045</v>
      </c>
      <c r="J10" s="0" t="s">
        <v>1046</v>
      </c>
      <c r="K10" s="0" t="s">
        <v>1047</v>
      </c>
      <c r="L10" s="0" t="s">
        <v>1057</v>
      </c>
      <c r="M10" s="0" t="s">
        <v>765</v>
      </c>
      <c r="N10" s="0" t="s">
        <v>106</v>
      </c>
      <c r="O10" s="0" t="s">
        <v>1044</v>
      </c>
      <c r="P10" s="0" t="s">
        <v>1044</v>
      </c>
      <c r="Q10" s="0" t="s">
        <v>1045</v>
      </c>
      <c r="R10" s="0" t="s">
        <v>1046</v>
      </c>
      <c r="S10" s="0" t="s">
        <v>1047</v>
      </c>
      <c r="T10" s="0" t="s">
        <v>2869</v>
      </c>
      <c r="U10" s="0" t="s">
        <v>2870</v>
      </c>
      <c r="V10" s="0" t="s">
        <v>2871</v>
      </c>
      <c r="W10" s="0" t="s">
        <v>2872</v>
      </c>
      <c r="X10" s="0" t="s">
        <v>2873</v>
      </c>
      <c r="Y10" s="0" t="s">
        <v>2870</v>
      </c>
      <c r="Z10" s="0" t="s">
        <v>2874</v>
      </c>
      <c r="AA10" s="0" t="s">
        <v>2875</v>
      </c>
      <c r="AB10" s="0" t="s">
        <v>2871</v>
      </c>
      <c r="AC10" s="0" t="s">
        <v>65</v>
      </c>
      <c r="AD10" s="0" t="s">
        <v>19</v>
      </c>
      <c r="AE10" s="0" t="s">
        <v>65</v>
      </c>
      <c r="AF10" s="0" t="s">
        <v>2888</v>
      </c>
      <c r="AG10" s="0" t="s">
        <v>2888</v>
      </c>
      <c r="AH10" s="0" t="s">
        <v>22</v>
      </c>
      <c r="AI10" s="0" t="s">
        <v>22</v>
      </c>
      <c r="AJ10" s="0" t="s">
        <v>2889</v>
      </c>
      <c r="AK10" s="0" t="s">
        <v>2889</v>
      </c>
    </row>
    <row customHeight="1" ht="11.25">
      <c r="A11" s="0" t="s">
        <v>22</v>
      </c>
      <c r="B11" s="0" t="s">
        <v>49</v>
      </c>
      <c r="C11" s="0" t="s">
        <v>51</v>
      </c>
      <c r="D11" s="0" t="s">
        <v>22</v>
      </c>
      <c r="E11" s="0" t="s">
        <v>1055</v>
      </c>
      <c r="F11" s="0" t="s">
        <v>1056</v>
      </c>
      <c r="G11" s="0" t="s">
        <v>1044</v>
      </c>
      <c r="H11" s="0" t="s">
        <v>1044</v>
      </c>
      <c r="I11" s="0" t="s">
        <v>1045</v>
      </c>
      <c r="J11" s="0" t="s">
        <v>1046</v>
      </c>
      <c r="K11" s="0" t="s">
        <v>1047</v>
      </c>
      <c r="L11" s="0" t="s">
        <v>1057</v>
      </c>
      <c r="M11" s="0" t="s">
        <v>765</v>
      </c>
      <c r="N11" s="0" t="s">
        <v>106</v>
      </c>
      <c r="O11" s="0" t="s">
        <v>1044</v>
      </c>
      <c r="P11" s="0" t="s">
        <v>1044</v>
      </c>
      <c r="Q11" s="0" t="s">
        <v>1045</v>
      </c>
      <c r="R11" s="0" t="s">
        <v>1046</v>
      </c>
      <c r="S11" s="0" t="s">
        <v>1047</v>
      </c>
      <c r="T11" s="0" t="s">
        <v>2869</v>
      </c>
      <c r="U11" s="0" t="s">
        <v>2870</v>
      </c>
      <c r="V11" s="0" t="s">
        <v>2871</v>
      </c>
      <c r="W11" s="0" t="s">
        <v>2872</v>
      </c>
      <c r="X11" s="0" t="s">
        <v>2873</v>
      </c>
      <c r="Y11" s="0" t="s">
        <v>2870</v>
      </c>
      <c r="Z11" s="0" t="s">
        <v>2874</v>
      </c>
      <c r="AA11" s="0" t="s">
        <v>2875</v>
      </c>
      <c r="AB11" s="0" t="s">
        <v>2871</v>
      </c>
      <c r="AC11" s="0" t="s">
        <v>65</v>
      </c>
      <c r="AD11" s="0" t="s">
        <v>19</v>
      </c>
      <c r="AE11" s="0" t="s">
        <v>65</v>
      </c>
      <c r="AF11" s="0" t="s">
        <v>2888</v>
      </c>
      <c r="AG11" s="0" t="s">
        <v>2888</v>
      </c>
      <c r="AH11" s="0" t="s">
        <v>22</v>
      </c>
      <c r="AI11" s="0" t="s">
        <v>22</v>
      </c>
      <c r="AJ11" s="0" t="s">
        <v>2889</v>
      </c>
      <c r="AK11" s="0" t="s">
        <v>2889</v>
      </c>
    </row>
    <row customHeight="1" ht="11.25">
      <c r="A12" s="0" t="s">
        <v>22</v>
      </c>
      <c r="B12" s="0" t="s">
        <v>49</v>
      </c>
      <c r="C12" s="0" t="s">
        <v>51</v>
      </c>
      <c r="D12" s="0" t="s">
        <v>22</v>
      </c>
      <c r="E12" s="0" t="s">
        <v>2890</v>
      </c>
      <c r="F12" s="0" t="s">
        <v>1056</v>
      </c>
      <c r="G12" s="0" t="s">
        <v>1044</v>
      </c>
      <c r="H12" s="0" t="s">
        <v>1044</v>
      </c>
      <c r="I12" s="0" t="s">
        <v>1045</v>
      </c>
      <c r="J12" s="0" t="s">
        <v>2879</v>
      </c>
      <c r="K12" s="0" t="s">
        <v>2880</v>
      </c>
      <c r="L12" s="0" t="s">
        <v>765</v>
      </c>
      <c r="M12" s="0" t="s">
        <v>765</v>
      </c>
      <c r="N12" s="0" t="s">
        <v>106</v>
      </c>
      <c r="O12" s="0" t="s">
        <v>1044</v>
      </c>
      <c r="P12" s="0" t="s">
        <v>1044</v>
      </c>
      <c r="Q12" s="0" t="s">
        <v>1045</v>
      </c>
      <c r="R12" s="0" t="s">
        <v>2879</v>
      </c>
      <c r="S12" s="0" t="s">
        <v>2880</v>
      </c>
      <c r="T12" s="0" t="s">
        <v>2869</v>
      </c>
      <c r="U12" s="0" t="s">
        <v>2870</v>
      </c>
      <c r="V12" s="0" t="s">
        <v>2871</v>
      </c>
      <c r="W12" s="0" t="s">
        <v>2872</v>
      </c>
      <c r="X12" s="0" t="s">
        <v>2873</v>
      </c>
      <c r="Y12" s="0" t="s">
        <v>2870</v>
      </c>
      <c r="Z12" s="0" t="s">
        <v>2874</v>
      </c>
      <c r="AA12" s="0" t="s">
        <v>2875</v>
      </c>
      <c r="AB12" s="0" t="s">
        <v>2871</v>
      </c>
      <c r="AC12" s="0" t="s">
        <v>65</v>
      </c>
      <c r="AD12" s="0" t="s">
        <v>19</v>
      </c>
      <c r="AE12" s="0" t="s">
        <v>65</v>
      </c>
      <c r="AF12" s="0" t="s">
        <v>2891</v>
      </c>
      <c r="AG12" s="0" t="s">
        <v>2891</v>
      </c>
      <c r="AH12" s="0" t="s">
        <v>22</v>
      </c>
      <c r="AI12" s="0" t="s">
        <v>22</v>
      </c>
      <c r="AJ12" s="0" t="s">
        <v>2892</v>
      </c>
      <c r="AK12" s="0" t="s">
        <v>2892</v>
      </c>
    </row>
    <row customHeight="1" ht="11.25">
      <c r="A13" s="0" t="s">
        <v>22</v>
      </c>
      <c r="B13" s="0" t="s">
        <v>49</v>
      </c>
      <c r="C13" s="0" t="s">
        <v>51</v>
      </c>
      <c r="D13" s="0" t="s">
        <v>22</v>
      </c>
      <c r="E13" s="0" t="s">
        <v>2890</v>
      </c>
      <c r="F13" s="0" t="s">
        <v>1056</v>
      </c>
      <c r="G13" s="0" t="s">
        <v>1044</v>
      </c>
      <c r="H13" s="0" t="s">
        <v>1044</v>
      </c>
      <c r="I13" s="0" t="s">
        <v>1045</v>
      </c>
      <c r="J13" s="0" t="s">
        <v>2879</v>
      </c>
      <c r="K13" s="0" t="s">
        <v>2880</v>
      </c>
      <c r="L13" s="0" t="s">
        <v>765</v>
      </c>
      <c r="M13" s="0" t="s">
        <v>765</v>
      </c>
      <c r="N13" s="0" t="s">
        <v>106</v>
      </c>
      <c r="O13" s="0" t="s">
        <v>1044</v>
      </c>
      <c r="P13" s="0" t="s">
        <v>1044</v>
      </c>
      <c r="Q13" s="0" t="s">
        <v>1045</v>
      </c>
      <c r="R13" s="0" t="s">
        <v>2879</v>
      </c>
      <c r="S13" s="0" t="s">
        <v>2880</v>
      </c>
      <c r="T13" s="0" t="s">
        <v>2869</v>
      </c>
      <c r="U13" s="0" t="s">
        <v>2870</v>
      </c>
      <c r="V13" s="0" t="s">
        <v>2871</v>
      </c>
      <c r="W13" s="0" t="s">
        <v>2872</v>
      </c>
      <c r="X13" s="0" t="s">
        <v>2873</v>
      </c>
      <c r="Y13" s="0" t="s">
        <v>2870</v>
      </c>
      <c r="Z13" s="0" t="s">
        <v>2874</v>
      </c>
      <c r="AA13" s="0" t="s">
        <v>2875</v>
      </c>
      <c r="AB13" s="0" t="s">
        <v>2871</v>
      </c>
      <c r="AC13" s="0" t="s">
        <v>65</v>
      </c>
      <c r="AD13" s="0" t="s">
        <v>19</v>
      </c>
      <c r="AE13" s="0" t="s">
        <v>65</v>
      </c>
      <c r="AF13" s="0" t="s">
        <v>2891</v>
      </c>
      <c r="AG13" s="0" t="s">
        <v>2891</v>
      </c>
      <c r="AH13" s="0" t="s">
        <v>22</v>
      </c>
      <c r="AI13" s="0" t="s">
        <v>22</v>
      </c>
      <c r="AJ13" s="0" t="s">
        <v>2892</v>
      </c>
      <c r="AK13" s="0" t="s">
        <v>2892</v>
      </c>
    </row>
    <row customHeight="1" ht="11.25">
      <c r="A14" s="0" t="s">
        <v>22</v>
      </c>
      <c r="B14" s="0" t="s">
        <v>49</v>
      </c>
      <c r="C14" s="0" t="s">
        <v>51</v>
      </c>
      <c r="D14" s="0" t="s">
        <v>22</v>
      </c>
      <c r="E14" s="0" t="s">
        <v>2893</v>
      </c>
      <c r="F14" s="0" t="s">
        <v>1056</v>
      </c>
      <c r="G14" s="0" t="s">
        <v>1044</v>
      </c>
      <c r="H14" s="0" t="s">
        <v>1044</v>
      </c>
      <c r="I14" s="0" t="s">
        <v>1045</v>
      </c>
      <c r="J14" s="0" t="s">
        <v>2866</v>
      </c>
      <c r="K14" s="0" t="s">
        <v>2867</v>
      </c>
      <c r="L14" s="0" t="s">
        <v>765</v>
      </c>
      <c r="M14" s="0" t="s">
        <v>765</v>
      </c>
      <c r="N14" s="0" t="s">
        <v>106</v>
      </c>
      <c r="O14" s="0" t="s">
        <v>1044</v>
      </c>
      <c r="P14" s="0" t="s">
        <v>1044</v>
      </c>
      <c r="Q14" s="0" t="s">
        <v>1045</v>
      </c>
      <c r="R14" s="0" t="s">
        <v>2866</v>
      </c>
      <c r="S14" s="0" t="s">
        <v>2867</v>
      </c>
      <c r="T14" s="0" t="s">
        <v>2869</v>
      </c>
      <c r="U14" s="0" t="s">
        <v>2870</v>
      </c>
      <c r="V14" s="0" t="s">
        <v>2871</v>
      </c>
      <c r="W14" s="0" t="s">
        <v>2872</v>
      </c>
      <c r="X14" s="0" t="s">
        <v>2873</v>
      </c>
      <c r="Y14" s="0" t="s">
        <v>2870</v>
      </c>
      <c r="Z14" s="0" t="s">
        <v>2874</v>
      </c>
      <c r="AA14" s="0" t="s">
        <v>2875</v>
      </c>
      <c r="AB14" s="0" t="s">
        <v>2871</v>
      </c>
      <c r="AC14" s="0" t="s">
        <v>65</v>
      </c>
      <c r="AD14" s="0" t="s">
        <v>19</v>
      </c>
      <c r="AE14" s="0" t="s">
        <v>65</v>
      </c>
      <c r="AF14" s="0" t="s">
        <v>1730</v>
      </c>
      <c r="AG14" s="0" t="s">
        <v>1730</v>
      </c>
      <c r="AH14" s="0" t="s">
        <v>22</v>
      </c>
      <c r="AI14" s="0" t="s">
        <v>22</v>
      </c>
      <c r="AJ14" s="0" t="s">
        <v>1730</v>
      </c>
      <c r="AK14" s="0" t="s">
        <v>1730</v>
      </c>
    </row>
    <row customHeight="1" ht="11.25">
      <c r="A15" s="0" t="s">
        <v>22</v>
      </c>
      <c r="B15" s="0" t="s">
        <v>49</v>
      </c>
      <c r="C15" s="0" t="s">
        <v>51</v>
      </c>
      <c r="D15" s="0" t="s">
        <v>22</v>
      </c>
      <c r="E15" s="0" t="s">
        <v>2893</v>
      </c>
      <c r="F15" s="0" t="s">
        <v>1056</v>
      </c>
      <c r="G15" s="0" t="s">
        <v>1044</v>
      </c>
      <c r="H15" s="0" t="s">
        <v>1044</v>
      </c>
      <c r="I15" s="0" t="s">
        <v>1045</v>
      </c>
      <c r="J15" s="0" t="s">
        <v>2866</v>
      </c>
      <c r="K15" s="0" t="s">
        <v>2867</v>
      </c>
      <c r="L15" s="0" t="s">
        <v>765</v>
      </c>
      <c r="M15" s="0" t="s">
        <v>765</v>
      </c>
      <c r="N15" s="0" t="s">
        <v>106</v>
      </c>
      <c r="O15" s="0" t="s">
        <v>1044</v>
      </c>
      <c r="P15" s="0" t="s">
        <v>1044</v>
      </c>
      <c r="Q15" s="0" t="s">
        <v>1045</v>
      </c>
      <c r="R15" s="0" t="s">
        <v>2866</v>
      </c>
      <c r="S15" s="0" t="s">
        <v>2867</v>
      </c>
      <c r="T15" s="0" t="s">
        <v>2869</v>
      </c>
      <c r="U15" s="0" t="s">
        <v>2870</v>
      </c>
      <c r="V15" s="0" t="s">
        <v>2871</v>
      </c>
      <c r="W15" s="0" t="s">
        <v>2872</v>
      </c>
      <c r="X15" s="0" t="s">
        <v>2873</v>
      </c>
      <c r="Y15" s="0" t="s">
        <v>2870</v>
      </c>
      <c r="Z15" s="0" t="s">
        <v>2874</v>
      </c>
      <c r="AA15" s="0" t="s">
        <v>2875</v>
      </c>
      <c r="AB15" s="0" t="s">
        <v>2871</v>
      </c>
      <c r="AC15" s="0" t="s">
        <v>65</v>
      </c>
      <c r="AD15" s="0" t="s">
        <v>19</v>
      </c>
      <c r="AE15" s="0" t="s">
        <v>65</v>
      </c>
      <c r="AF15" s="0" t="s">
        <v>1730</v>
      </c>
      <c r="AG15" s="0" t="s">
        <v>1730</v>
      </c>
      <c r="AH15" s="0" t="s">
        <v>22</v>
      </c>
      <c r="AI15" s="0" t="s">
        <v>22</v>
      </c>
      <c r="AJ15" s="0" t="s">
        <v>1730</v>
      </c>
      <c r="AK15" s="0" t="s">
        <v>1730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B10E34-0A8E-90E8-41A6-1E859B03E92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127</v>
      </c>
      <c r="B1" s="185" t="s">
        <v>2894</v>
      </c>
    </row>
    <row customHeight="1" ht="11.25">
      <c r="A2" s="66" t="s">
        <v>98</v>
      </c>
      <c r="B2" s="66" t="s">
        <v>2895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615352-64AF-78DF-6F3B-00642C1D44E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7" t="s">
        <v>2896</v>
      </c>
      <c r="B1" s="837" t="s">
        <v>2897</v>
      </c>
    </row>
    <row customHeight="1" ht="11.25">
      <c r="A2" s="837">
        <v>4213775</v>
      </c>
      <c r="B2" s="837" t="s">
        <v>1274</v>
      </c>
    </row>
    <row customHeight="1" ht="11.25">
      <c r="A3" s="837">
        <v>4213784</v>
      </c>
      <c r="B3" s="837" t="s">
        <v>1308</v>
      </c>
    </row>
    <row customHeight="1" ht="11.25">
      <c r="A4" s="837">
        <v>4213781</v>
      </c>
      <c r="B4" s="837" t="s">
        <v>1301</v>
      </c>
    </row>
    <row customHeight="1" ht="11.25">
      <c r="A5" s="837">
        <v>4213776</v>
      </c>
      <c r="B5" s="837" t="s">
        <v>163</v>
      </c>
    </row>
    <row customHeight="1" ht="11.25">
      <c r="A6" s="837">
        <v>4213777</v>
      </c>
      <c r="B6" s="837" t="s">
        <v>169</v>
      </c>
    </row>
    <row customHeight="1" ht="11.25">
      <c r="A7" s="837">
        <v>4213778</v>
      </c>
      <c r="B7" s="837" t="s">
        <v>175</v>
      </c>
    </row>
    <row customHeight="1" ht="11.25">
      <c r="A8" s="837">
        <v>4213780</v>
      </c>
      <c r="B8" s="837" t="s">
        <v>181</v>
      </c>
    </row>
    <row customHeight="1" ht="11.25">
      <c r="A9" s="837">
        <v>4213779</v>
      </c>
      <c r="B9" s="837" t="s">
        <v>1443</v>
      </c>
    </row>
    <row customHeight="1" ht="11.25">
      <c r="A10" s="837">
        <v>4213783</v>
      </c>
      <c r="B10" s="837" t="s">
        <v>1458</v>
      </c>
    </row>
    <row customHeight="1" ht="11.25">
      <c r="A11" s="837">
        <v>4213782</v>
      </c>
      <c r="B11" s="837" t="s">
        <v>187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FF6F8-960F-5838-9518-422226B1152C}"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s>
  <sheetData>
    <row customHeight="1" ht="11.25">
      <c r="A1" s="837" t="s">
        <v>2896</v>
      </c>
      <c r="B1" s="64" t="s">
        <v>2898</v>
      </c>
    </row>
    <row customHeight="1" ht="11.25">
      <c r="A2" s="837" t="s">
        <v>2899</v>
      </c>
      <c r="B2" s="0" t="s">
        <v>1558</v>
      </c>
    </row>
    <row customHeight="1" ht="11.25">
      <c r="A3" s="1692" t="s">
        <v>2900</v>
      </c>
      <c r="B3" s="0" t="s">
        <v>1568</v>
      </c>
    </row>
    <row customHeight="1" ht="11.25">
      <c r="A4" s="1692" t="s">
        <v>2901</v>
      </c>
      <c r="B4" s="0" t="s">
        <v>1577</v>
      </c>
    </row>
    <row customHeight="1" ht="11.25">
      <c r="A5" s="1692" t="s">
        <v>2902</v>
      </c>
      <c r="B5" s="0" t="s">
        <v>1586</v>
      </c>
    </row>
    <row customHeight="1" ht="11.25">
      <c r="A6" s="1692" t="s">
        <v>2903</v>
      </c>
      <c r="B6" s="0" t="s">
        <v>1592</v>
      </c>
    </row>
    <row customHeight="1" ht="11.25">
      <c r="A7" s="1692" t="s">
        <v>2904</v>
      </c>
      <c r="B7" s="0" t="s">
        <v>1600</v>
      </c>
    </row>
    <row customHeight="1" ht="11.25">
      <c r="A8" s="1692" t="s">
        <v>2905</v>
      </c>
      <c r="B8" s="0" t="s">
        <v>1606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4F358-E548-EBDE-8038-337BABFDC088}" mc:Ignorable="x14ac xr xr2 xr3">
  <sheetPr>
    <tabColor rgb="FFFFCC99"/>
  </sheetPr>
  <dimension ref="A1:D708"/>
  <sheetViews>
    <sheetView topLeftCell="A1" showGridLines="0" workbookViewId="0">
      <selection activeCell="A1" sqref="A1"/>
    </sheetView>
  </sheetViews>
  <sheetFormatPr customHeight="1" defaultRowHeight="11.25"/>
  <sheetData>
    <row customHeight="1" ht="11.25">
      <c r="A1" s="375" t="s">
        <v>2754</v>
      </c>
      <c r="B1" s="375" t="s">
        <v>2749</v>
      </c>
      <c r="C1" s="375" t="s">
        <v>2751</v>
      </c>
      <c r="D1" s="375" t="s">
        <v>2752</v>
      </c>
    </row>
    <row customHeight="1" ht="11.25">
      <c r="A2" s="0">
        <v>1</v>
      </c>
      <c r="B2" s="0" t="s">
        <v>2906</v>
      </c>
      <c r="C2" s="0" t="s">
        <v>2906</v>
      </c>
      <c r="D2" s="0" t="s">
        <v>2907</v>
      </c>
    </row>
    <row customHeight="1" ht="11.25">
      <c r="A3" s="0">
        <v>2</v>
      </c>
      <c r="B3" s="0" t="s">
        <v>2906</v>
      </c>
      <c r="C3" s="0" t="s">
        <v>2908</v>
      </c>
      <c r="D3" s="0" t="s">
        <v>2909</v>
      </c>
    </row>
    <row customHeight="1" ht="11.25">
      <c r="A4" s="0">
        <v>3</v>
      </c>
      <c r="B4" s="0" t="s">
        <v>2906</v>
      </c>
      <c r="C4" s="0" t="s">
        <v>2910</v>
      </c>
      <c r="D4" s="0" t="s">
        <v>2911</v>
      </c>
    </row>
    <row customHeight="1" ht="11.25">
      <c r="A5" s="0">
        <v>4</v>
      </c>
      <c r="B5" s="0" t="s">
        <v>2906</v>
      </c>
      <c r="C5" s="0" t="s">
        <v>2912</v>
      </c>
      <c r="D5" s="0" t="s">
        <v>2913</v>
      </c>
    </row>
    <row customHeight="1" ht="11.25">
      <c r="A6" s="0">
        <v>5</v>
      </c>
      <c r="B6" s="0" t="s">
        <v>2906</v>
      </c>
      <c r="C6" s="0" t="s">
        <v>2914</v>
      </c>
      <c r="D6" s="0" t="s">
        <v>2915</v>
      </c>
    </row>
    <row customHeight="1" ht="11.25">
      <c r="A7" s="0">
        <v>6</v>
      </c>
      <c r="B7" s="0" t="s">
        <v>2906</v>
      </c>
      <c r="C7" s="0" t="s">
        <v>2916</v>
      </c>
      <c r="D7" s="0" t="s">
        <v>2917</v>
      </c>
    </row>
    <row customHeight="1" ht="11.25">
      <c r="A8" s="0">
        <v>7</v>
      </c>
      <c r="B8" s="0" t="s">
        <v>2906</v>
      </c>
      <c r="C8" s="0" t="s">
        <v>2918</v>
      </c>
      <c r="D8" s="0" t="s">
        <v>2919</v>
      </c>
    </row>
    <row customHeight="1" ht="11.25">
      <c r="A9" s="0">
        <v>8</v>
      </c>
      <c r="B9" s="0" t="s">
        <v>2906</v>
      </c>
      <c r="C9" s="0" t="s">
        <v>2920</v>
      </c>
      <c r="D9" s="0" t="s">
        <v>2921</v>
      </c>
    </row>
    <row customHeight="1" ht="11.25">
      <c r="A10" s="0">
        <v>9</v>
      </c>
      <c r="B10" s="0" t="s">
        <v>2906</v>
      </c>
      <c r="C10" s="0" t="s">
        <v>2922</v>
      </c>
      <c r="D10" s="0" t="s">
        <v>2923</v>
      </c>
    </row>
    <row customHeight="1" ht="11.25">
      <c r="A11" s="0">
        <v>10</v>
      </c>
      <c r="B11" s="0" t="s">
        <v>2906</v>
      </c>
      <c r="C11" s="0" t="s">
        <v>2924</v>
      </c>
      <c r="D11" s="0" t="s">
        <v>2925</v>
      </c>
    </row>
    <row customHeight="1" ht="11.25">
      <c r="A12" s="0">
        <v>11</v>
      </c>
      <c r="B12" s="0" t="s">
        <v>2906</v>
      </c>
      <c r="C12" s="0" t="s">
        <v>2926</v>
      </c>
      <c r="D12" s="0" t="s">
        <v>2927</v>
      </c>
    </row>
    <row customHeight="1" ht="11.25">
      <c r="A13" s="0">
        <v>13</v>
      </c>
      <c r="B13" s="0" t="s">
        <v>2906</v>
      </c>
      <c r="C13" s="0" t="s">
        <v>2928</v>
      </c>
      <c r="D13" s="0" t="s">
        <v>2929</v>
      </c>
    </row>
    <row customHeight="1" ht="11.25">
      <c r="A14" s="0">
        <v>14</v>
      </c>
      <c r="B14" s="0" t="s">
        <v>2906</v>
      </c>
      <c r="C14" s="0" t="s">
        <v>2930</v>
      </c>
      <c r="D14" s="0" t="s">
        <v>2931</v>
      </c>
    </row>
    <row customHeight="1" ht="11.25">
      <c r="A15" s="0">
        <v>15</v>
      </c>
      <c r="B15" s="0" t="s">
        <v>2906</v>
      </c>
      <c r="C15" s="0" t="s">
        <v>2932</v>
      </c>
      <c r="D15" s="0" t="s">
        <v>2933</v>
      </c>
    </row>
    <row customHeight="1" ht="11.25">
      <c r="A16" s="0">
        <v>16</v>
      </c>
      <c r="B16" s="0" t="s">
        <v>2906</v>
      </c>
      <c r="C16" s="0" t="s">
        <v>2934</v>
      </c>
      <c r="D16" s="0" t="s">
        <v>2935</v>
      </c>
    </row>
    <row customHeight="1" ht="11.25">
      <c r="A17" s="0">
        <v>17</v>
      </c>
      <c r="B17" s="0" t="s">
        <v>2906</v>
      </c>
      <c r="C17" s="0" t="s">
        <v>2936</v>
      </c>
      <c r="D17" s="0" t="s">
        <v>2937</v>
      </c>
    </row>
    <row customHeight="1" ht="11.25">
      <c r="A18" s="0">
        <v>18</v>
      </c>
      <c r="B18" s="0" t="s">
        <v>2906</v>
      </c>
      <c r="C18" s="0" t="s">
        <v>2938</v>
      </c>
      <c r="D18" s="0" t="s">
        <v>2939</v>
      </c>
    </row>
    <row customHeight="1" ht="11.25">
      <c r="A19" s="0">
        <v>19</v>
      </c>
      <c r="B19" s="0" t="s">
        <v>2906</v>
      </c>
      <c r="C19" s="0" t="s">
        <v>2940</v>
      </c>
      <c r="D19" s="0" t="s">
        <v>2941</v>
      </c>
    </row>
    <row customHeight="1" ht="11.25">
      <c r="A20" s="0">
        <v>20</v>
      </c>
      <c r="B20" s="0" t="s">
        <v>2906</v>
      </c>
      <c r="C20" s="0" t="s">
        <v>2942</v>
      </c>
      <c r="D20" s="0" t="s">
        <v>2943</v>
      </c>
    </row>
    <row customHeight="1" ht="11.25">
      <c r="A21" s="0">
        <v>21</v>
      </c>
      <c r="B21" s="0" t="s">
        <v>2944</v>
      </c>
      <c r="C21" s="0" t="s">
        <v>2945</v>
      </c>
      <c r="D21" s="0" t="s">
        <v>2946</v>
      </c>
    </row>
    <row customHeight="1" ht="11.25">
      <c r="A22" s="0">
        <v>22</v>
      </c>
      <c r="B22" s="0" t="s">
        <v>2944</v>
      </c>
      <c r="C22" s="0" t="s">
        <v>2944</v>
      </c>
      <c r="D22" s="0" t="s">
        <v>2947</v>
      </c>
    </row>
    <row customHeight="1" ht="11.25">
      <c r="A23" s="0">
        <v>23</v>
      </c>
      <c r="B23" s="0" t="s">
        <v>2944</v>
      </c>
      <c r="C23" s="0" t="s">
        <v>2948</v>
      </c>
      <c r="D23" s="0" t="s">
        <v>2949</v>
      </c>
    </row>
    <row customHeight="1" ht="11.25">
      <c r="A24" s="0">
        <v>24</v>
      </c>
      <c r="B24" s="0" t="s">
        <v>2944</v>
      </c>
      <c r="C24" s="0" t="s">
        <v>2950</v>
      </c>
      <c r="D24" s="0" t="s">
        <v>2951</v>
      </c>
    </row>
    <row customHeight="1" ht="11.25">
      <c r="A25" s="0">
        <v>25</v>
      </c>
      <c r="B25" s="0" t="s">
        <v>2944</v>
      </c>
      <c r="C25" s="0" t="s">
        <v>2952</v>
      </c>
      <c r="D25" s="0" t="s">
        <v>2953</v>
      </c>
    </row>
    <row customHeight="1" ht="11.25">
      <c r="A26" s="0">
        <v>26</v>
      </c>
      <c r="B26" s="0" t="s">
        <v>2944</v>
      </c>
      <c r="C26" s="0" t="s">
        <v>2954</v>
      </c>
      <c r="D26" s="0" t="s">
        <v>2955</v>
      </c>
    </row>
    <row customHeight="1" ht="11.25">
      <c r="A27" s="0">
        <v>27</v>
      </c>
      <c r="B27" s="0" t="s">
        <v>2944</v>
      </c>
      <c r="C27" s="0" t="s">
        <v>2956</v>
      </c>
      <c r="D27" s="0" t="s">
        <v>2957</v>
      </c>
    </row>
    <row customHeight="1" ht="11.25">
      <c r="A28" s="0">
        <v>28</v>
      </c>
      <c r="B28" s="0" t="s">
        <v>2944</v>
      </c>
      <c r="C28" s="0" t="s">
        <v>2958</v>
      </c>
      <c r="D28" s="0" t="s">
        <v>2959</v>
      </c>
    </row>
    <row customHeight="1" ht="11.25">
      <c r="A29" s="0">
        <v>29</v>
      </c>
      <c r="B29" s="0" t="s">
        <v>2944</v>
      </c>
      <c r="C29" s="0" t="s">
        <v>2960</v>
      </c>
      <c r="D29" s="0" t="s">
        <v>2961</v>
      </c>
    </row>
    <row customHeight="1" ht="11.25">
      <c r="A30" s="0">
        <v>30</v>
      </c>
      <c r="B30" s="0" t="s">
        <v>2944</v>
      </c>
      <c r="C30" s="0" t="s">
        <v>2962</v>
      </c>
      <c r="D30" s="0" t="s">
        <v>2963</v>
      </c>
    </row>
    <row customHeight="1" ht="11.25">
      <c r="A31" s="0">
        <v>31</v>
      </c>
      <c r="B31" s="0" t="s">
        <v>2944</v>
      </c>
      <c r="C31" s="0" t="s">
        <v>2964</v>
      </c>
      <c r="D31" s="0" t="s">
        <v>2965</v>
      </c>
    </row>
    <row customHeight="1" ht="11.25">
      <c r="A32" s="0">
        <v>32</v>
      </c>
      <c r="B32" s="0" t="s">
        <v>2966</v>
      </c>
      <c r="C32" s="0" t="s">
        <v>2966</v>
      </c>
      <c r="D32" s="0" t="s">
        <v>2967</v>
      </c>
    </row>
    <row customHeight="1" ht="11.25">
      <c r="A33" s="0">
        <v>33</v>
      </c>
      <c r="B33" s="0" t="s">
        <v>2966</v>
      </c>
      <c r="C33" s="0" t="s">
        <v>2968</v>
      </c>
      <c r="D33" s="0" t="s">
        <v>2969</v>
      </c>
    </row>
    <row customHeight="1" ht="11.25">
      <c r="A34" s="0">
        <v>34</v>
      </c>
      <c r="B34" s="0" t="s">
        <v>2966</v>
      </c>
      <c r="C34" s="0" t="s">
        <v>2970</v>
      </c>
      <c r="D34" s="0" t="s">
        <v>2971</v>
      </c>
    </row>
    <row customHeight="1" ht="11.25">
      <c r="A35" s="0">
        <v>35</v>
      </c>
      <c r="B35" s="0" t="s">
        <v>2966</v>
      </c>
      <c r="C35" s="0" t="s">
        <v>2972</v>
      </c>
      <c r="D35" s="0" t="s">
        <v>2973</v>
      </c>
    </row>
    <row customHeight="1" ht="11.25">
      <c r="A36" s="0">
        <v>36</v>
      </c>
      <c r="B36" s="0" t="s">
        <v>2966</v>
      </c>
      <c r="C36" s="0" t="s">
        <v>2974</v>
      </c>
      <c r="D36" s="0" t="s">
        <v>2975</v>
      </c>
    </row>
    <row customHeight="1" ht="11.25">
      <c r="A37" s="0">
        <v>37</v>
      </c>
      <c r="B37" s="0" t="s">
        <v>2966</v>
      </c>
      <c r="C37" s="0" t="s">
        <v>2976</v>
      </c>
      <c r="D37" s="0" t="s">
        <v>2977</v>
      </c>
    </row>
    <row customHeight="1" ht="11.25">
      <c r="A38" s="0">
        <v>38</v>
      </c>
      <c r="B38" s="0" t="s">
        <v>2966</v>
      </c>
      <c r="C38" s="0" t="s">
        <v>2932</v>
      </c>
      <c r="D38" s="0" t="s">
        <v>2978</v>
      </c>
    </row>
    <row customHeight="1" ht="11.25">
      <c r="A39" s="0">
        <v>39</v>
      </c>
      <c r="B39" s="0" t="s">
        <v>2966</v>
      </c>
      <c r="C39" s="0" t="s">
        <v>2979</v>
      </c>
      <c r="D39" s="0" t="s">
        <v>2980</v>
      </c>
    </row>
    <row customHeight="1" ht="11.25">
      <c r="A40" s="0">
        <v>40</v>
      </c>
      <c r="B40" s="0" t="s">
        <v>2966</v>
      </c>
      <c r="C40" s="0" t="s">
        <v>2981</v>
      </c>
      <c r="D40" s="0" t="s">
        <v>2982</v>
      </c>
    </row>
    <row customHeight="1" ht="11.25">
      <c r="A41" s="0">
        <v>41</v>
      </c>
      <c r="B41" s="0" t="s">
        <v>2983</v>
      </c>
      <c r="C41" s="0" t="s">
        <v>2983</v>
      </c>
      <c r="D41" s="0" t="s">
        <v>2984</v>
      </c>
    </row>
    <row customHeight="1" ht="11.25">
      <c r="A42" s="0">
        <v>42</v>
      </c>
      <c r="B42" s="0" t="s">
        <v>2983</v>
      </c>
      <c r="C42" s="0" t="s">
        <v>2985</v>
      </c>
      <c r="D42" s="0" t="s">
        <v>2986</v>
      </c>
    </row>
    <row customHeight="1" ht="11.25">
      <c r="A43" s="0">
        <v>43</v>
      </c>
      <c r="B43" s="0" t="s">
        <v>2983</v>
      </c>
      <c r="C43" s="0" t="s">
        <v>2987</v>
      </c>
      <c r="D43" s="0" t="s">
        <v>2988</v>
      </c>
    </row>
    <row customHeight="1" ht="11.25">
      <c r="A44" s="0">
        <v>44</v>
      </c>
      <c r="B44" s="0" t="s">
        <v>2983</v>
      </c>
      <c r="C44" s="0" t="s">
        <v>2989</v>
      </c>
      <c r="D44" s="0" t="s">
        <v>2990</v>
      </c>
    </row>
    <row customHeight="1" ht="11.25">
      <c r="A45" s="0">
        <v>45</v>
      </c>
      <c r="B45" s="0" t="s">
        <v>2983</v>
      </c>
      <c r="C45" s="0" t="s">
        <v>2991</v>
      </c>
      <c r="D45" s="0" t="s">
        <v>2992</v>
      </c>
    </row>
    <row customHeight="1" ht="11.25">
      <c r="A46" s="0">
        <v>46</v>
      </c>
      <c r="B46" s="0" t="s">
        <v>2983</v>
      </c>
      <c r="C46" s="0" t="s">
        <v>2993</v>
      </c>
      <c r="D46" s="0" t="s">
        <v>2994</v>
      </c>
    </row>
    <row customHeight="1" ht="11.25">
      <c r="A47" s="0">
        <v>47</v>
      </c>
      <c r="B47" s="0" t="s">
        <v>2983</v>
      </c>
      <c r="C47" s="0" t="s">
        <v>2995</v>
      </c>
      <c r="D47" s="0" t="s">
        <v>2996</v>
      </c>
    </row>
    <row customHeight="1" ht="11.25">
      <c r="A48" s="0">
        <v>48</v>
      </c>
      <c r="B48" s="0" t="s">
        <v>2983</v>
      </c>
      <c r="C48" s="0" t="s">
        <v>2997</v>
      </c>
      <c r="D48" s="0" t="s">
        <v>2998</v>
      </c>
    </row>
    <row customHeight="1" ht="11.25">
      <c r="A49" s="0">
        <v>49</v>
      </c>
      <c r="B49" s="0" t="s">
        <v>2983</v>
      </c>
      <c r="C49" s="0" t="s">
        <v>2999</v>
      </c>
      <c r="D49" s="0" t="s">
        <v>3000</v>
      </c>
    </row>
    <row customHeight="1" ht="11.25">
      <c r="A50" s="0">
        <v>50</v>
      </c>
      <c r="B50" s="0" t="s">
        <v>2983</v>
      </c>
      <c r="C50" s="0" t="s">
        <v>3001</v>
      </c>
      <c r="D50" s="0" t="s">
        <v>3002</v>
      </c>
    </row>
    <row customHeight="1" ht="11.25">
      <c r="A51" s="0">
        <v>51</v>
      </c>
      <c r="B51" s="0" t="s">
        <v>2983</v>
      </c>
      <c r="C51" s="0" t="s">
        <v>3003</v>
      </c>
      <c r="D51" s="0" t="s">
        <v>3004</v>
      </c>
    </row>
    <row customHeight="1" ht="11.25">
      <c r="A52" s="0">
        <v>52</v>
      </c>
      <c r="B52" s="0" t="s">
        <v>2983</v>
      </c>
      <c r="C52" s="0" t="s">
        <v>3005</v>
      </c>
      <c r="D52" s="0" t="s">
        <v>3006</v>
      </c>
    </row>
    <row customHeight="1" ht="11.25">
      <c r="A53" s="0">
        <v>53</v>
      </c>
      <c r="B53" s="0" t="s">
        <v>2983</v>
      </c>
      <c r="C53" s="0" t="s">
        <v>3007</v>
      </c>
      <c r="D53" s="0" t="s">
        <v>3008</v>
      </c>
    </row>
    <row customHeight="1" ht="11.25">
      <c r="A54" s="0">
        <v>54</v>
      </c>
      <c r="B54" s="0" t="s">
        <v>2983</v>
      </c>
      <c r="C54" s="0" t="s">
        <v>3009</v>
      </c>
      <c r="D54" s="0" t="s">
        <v>3010</v>
      </c>
    </row>
    <row customHeight="1" ht="11.25">
      <c r="A55" s="0">
        <v>55</v>
      </c>
      <c r="B55" s="0" t="s">
        <v>2983</v>
      </c>
      <c r="C55" s="0" t="s">
        <v>3011</v>
      </c>
      <c r="D55" s="0" t="s">
        <v>3012</v>
      </c>
    </row>
    <row customHeight="1" ht="11.25">
      <c r="A56" s="0">
        <v>56</v>
      </c>
      <c r="B56" s="0" t="s">
        <v>2983</v>
      </c>
      <c r="C56" s="0" t="s">
        <v>3013</v>
      </c>
      <c r="D56" s="0" t="s">
        <v>3014</v>
      </c>
    </row>
    <row customHeight="1" ht="11.25">
      <c r="A57" s="0">
        <v>57</v>
      </c>
      <c r="B57" s="0" t="s">
        <v>3015</v>
      </c>
      <c r="C57" s="0" t="s">
        <v>3016</v>
      </c>
      <c r="D57" s="0" t="s">
        <v>3017</v>
      </c>
    </row>
    <row customHeight="1" ht="11.25">
      <c r="A58" s="0">
        <v>58</v>
      </c>
      <c r="B58" s="0" t="s">
        <v>3015</v>
      </c>
      <c r="C58" s="0" t="s">
        <v>3015</v>
      </c>
      <c r="D58" s="0" t="s">
        <v>3018</v>
      </c>
    </row>
    <row customHeight="1" ht="11.25">
      <c r="A59" s="0">
        <v>59</v>
      </c>
      <c r="B59" s="0" t="s">
        <v>3015</v>
      </c>
      <c r="C59" s="0" t="s">
        <v>3019</v>
      </c>
      <c r="D59" s="0" t="s">
        <v>3020</v>
      </c>
    </row>
    <row customHeight="1" ht="11.25">
      <c r="A60" s="0">
        <v>60</v>
      </c>
      <c r="B60" s="0" t="s">
        <v>3015</v>
      </c>
      <c r="C60" s="0" t="s">
        <v>3021</v>
      </c>
      <c r="D60" s="0" t="s">
        <v>3022</v>
      </c>
    </row>
    <row customHeight="1" ht="11.25">
      <c r="A61" s="0">
        <v>61</v>
      </c>
      <c r="B61" s="0" t="s">
        <v>3015</v>
      </c>
      <c r="C61" s="0" t="s">
        <v>3023</v>
      </c>
      <c r="D61" s="0" t="s">
        <v>3024</v>
      </c>
    </row>
    <row customHeight="1" ht="11.25">
      <c r="A62" s="0">
        <v>62</v>
      </c>
      <c r="B62" s="0" t="s">
        <v>3015</v>
      </c>
      <c r="C62" s="0" t="s">
        <v>3025</v>
      </c>
      <c r="D62" s="0" t="s">
        <v>3026</v>
      </c>
    </row>
    <row customHeight="1" ht="11.25">
      <c r="A63" s="0">
        <v>63</v>
      </c>
      <c r="B63" s="0" t="s">
        <v>3015</v>
      </c>
      <c r="C63" s="0" t="s">
        <v>3027</v>
      </c>
      <c r="D63" s="0" t="s">
        <v>3028</v>
      </c>
    </row>
    <row customHeight="1" ht="11.25">
      <c r="A64" s="0">
        <v>64</v>
      </c>
      <c r="B64" s="0" t="s">
        <v>3015</v>
      </c>
      <c r="C64" s="0" t="s">
        <v>3029</v>
      </c>
      <c r="D64" s="0" t="s">
        <v>3030</v>
      </c>
    </row>
    <row customHeight="1" ht="11.25">
      <c r="A65" s="0">
        <v>65</v>
      </c>
      <c r="B65" s="0" t="s">
        <v>3015</v>
      </c>
      <c r="C65" s="0" t="s">
        <v>3031</v>
      </c>
      <c r="D65" s="0" t="s">
        <v>3032</v>
      </c>
    </row>
    <row customHeight="1" ht="11.25">
      <c r="A66" s="0">
        <v>66</v>
      </c>
      <c r="B66" s="0" t="s">
        <v>3015</v>
      </c>
      <c r="C66" s="0" t="s">
        <v>3033</v>
      </c>
      <c r="D66" s="0" t="s">
        <v>3034</v>
      </c>
    </row>
    <row customHeight="1" ht="11.25">
      <c r="A67" s="0">
        <v>67</v>
      </c>
      <c r="B67" s="0" t="s">
        <v>3015</v>
      </c>
      <c r="C67" s="0" t="s">
        <v>3035</v>
      </c>
      <c r="D67" s="0" t="s">
        <v>3036</v>
      </c>
    </row>
    <row customHeight="1" ht="11.25">
      <c r="A68" s="0">
        <v>68</v>
      </c>
      <c r="B68" s="0" t="s">
        <v>3015</v>
      </c>
      <c r="C68" s="0" t="s">
        <v>3037</v>
      </c>
      <c r="D68" s="0" t="s">
        <v>3038</v>
      </c>
    </row>
    <row customHeight="1" ht="11.25">
      <c r="A69" s="0">
        <v>69</v>
      </c>
      <c r="B69" s="0" t="s">
        <v>3015</v>
      </c>
      <c r="C69" s="0" t="s">
        <v>3039</v>
      </c>
      <c r="D69" s="0" t="s">
        <v>3040</v>
      </c>
    </row>
    <row customHeight="1" ht="11.25">
      <c r="A70" s="0">
        <v>70</v>
      </c>
      <c r="B70" s="0" t="s">
        <v>3041</v>
      </c>
      <c r="C70" s="0" t="s">
        <v>3041</v>
      </c>
      <c r="D70" s="0" t="s">
        <v>3042</v>
      </c>
    </row>
    <row customHeight="1" ht="11.25">
      <c r="A71" s="0">
        <v>71</v>
      </c>
      <c r="B71" s="0" t="s">
        <v>3041</v>
      </c>
      <c r="C71" s="0" t="s">
        <v>3043</v>
      </c>
      <c r="D71" s="0" t="s">
        <v>3044</v>
      </c>
    </row>
    <row customHeight="1" ht="11.25">
      <c r="A72" s="0">
        <v>72</v>
      </c>
      <c r="B72" s="0" t="s">
        <v>3041</v>
      </c>
      <c r="C72" s="0" t="s">
        <v>3045</v>
      </c>
      <c r="D72" s="0" t="s">
        <v>3046</v>
      </c>
    </row>
    <row customHeight="1" ht="11.25">
      <c r="A73" s="0">
        <v>73</v>
      </c>
      <c r="B73" s="0" t="s">
        <v>3041</v>
      </c>
      <c r="C73" s="0" t="s">
        <v>3047</v>
      </c>
      <c r="D73" s="0" t="s">
        <v>3048</v>
      </c>
    </row>
    <row customHeight="1" ht="11.25">
      <c r="A74" s="0">
        <v>74</v>
      </c>
      <c r="B74" s="0" t="s">
        <v>3041</v>
      </c>
      <c r="C74" s="0" t="s">
        <v>3049</v>
      </c>
      <c r="D74" s="0" t="s">
        <v>3050</v>
      </c>
    </row>
    <row customHeight="1" ht="11.25">
      <c r="A75" s="0">
        <v>75</v>
      </c>
      <c r="B75" s="0" t="s">
        <v>3041</v>
      </c>
      <c r="C75" s="0" t="s">
        <v>3051</v>
      </c>
      <c r="D75" s="0" t="s">
        <v>3052</v>
      </c>
    </row>
    <row customHeight="1" ht="11.25">
      <c r="A76" s="0">
        <v>76</v>
      </c>
      <c r="B76" s="0" t="s">
        <v>3041</v>
      </c>
      <c r="C76" s="0" t="s">
        <v>3053</v>
      </c>
      <c r="D76" s="0" t="s">
        <v>3054</v>
      </c>
    </row>
    <row customHeight="1" ht="11.25">
      <c r="A77" s="0">
        <v>77</v>
      </c>
      <c r="B77" s="0" t="s">
        <v>3041</v>
      </c>
      <c r="C77" s="0" t="s">
        <v>3055</v>
      </c>
      <c r="D77" s="0" t="s">
        <v>3056</v>
      </c>
    </row>
    <row customHeight="1" ht="11.25">
      <c r="A78" s="0">
        <v>78</v>
      </c>
      <c r="B78" s="0" t="s">
        <v>3041</v>
      </c>
      <c r="C78" s="0" t="s">
        <v>3057</v>
      </c>
      <c r="D78" s="0" t="s">
        <v>3058</v>
      </c>
    </row>
    <row customHeight="1" ht="11.25">
      <c r="A79" s="0">
        <v>79</v>
      </c>
      <c r="B79" s="0" t="s">
        <v>3041</v>
      </c>
      <c r="C79" s="0" t="s">
        <v>3059</v>
      </c>
      <c r="D79" s="0" t="s">
        <v>3060</v>
      </c>
    </row>
    <row customHeight="1" ht="11.25">
      <c r="A80" s="0">
        <v>80</v>
      </c>
      <c r="B80" s="0" t="s">
        <v>3061</v>
      </c>
      <c r="C80" s="0" t="s">
        <v>3062</v>
      </c>
      <c r="D80" s="0" t="s">
        <v>3063</v>
      </c>
    </row>
    <row customHeight="1" ht="11.25">
      <c r="A81" s="0">
        <v>81</v>
      </c>
      <c r="B81" s="0" t="s">
        <v>3061</v>
      </c>
      <c r="C81" s="0" t="s">
        <v>3061</v>
      </c>
      <c r="D81" s="0" t="s">
        <v>3064</v>
      </c>
    </row>
    <row customHeight="1" ht="11.25">
      <c r="A82" s="0">
        <v>82</v>
      </c>
      <c r="B82" s="0" t="s">
        <v>3061</v>
      </c>
      <c r="C82" s="0" t="s">
        <v>3065</v>
      </c>
      <c r="D82" s="0" t="s">
        <v>3066</v>
      </c>
    </row>
    <row customHeight="1" ht="11.25">
      <c r="A83" s="0">
        <v>83</v>
      </c>
      <c r="B83" s="0" t="s">
        <v>3061</v>
      </c>
      <c r="C83" s="0" t="s">
        <v>3067</v>
      </c>
      <c r="D83" s="0" t="s">
        <v>3068</v>
      </c>
    </row>
    <row customHeight="1" ht="11.25">
      <c r="A84" s="0">
        <v>84</v>
      </c>
      <c r="B84" s="0" t="s">
        <v>3061</v>
      </c>
      <c r="C84" s="0" t="s">
        <v>3069</v>
      </c>
      <c r="D84" s="0" t="s">
        <v>3070</v>
      </c>
    </row>
    <row customHeight="1" ht="11.25">
      <c r="A85" s="0">
        <v>85</v>
      </c>
      <c r="B85" s="0" t="s">
        <v>3061</v>
      </c>
      <c r="C85" s="0" t="s">
        <v>3071</v>
      </c>
      <c r="D85" s="0" t="s">
        <v>3072</v>
      </c>
    </row>
    <row customHeight="1" ht="11.25">
      <c r="A86" s="0">
        <v>86</v>
      </c>
      <c r="B86" s="0" t="s">
        <v>3061</v>
      </c>
      <c r="C86" s="0" t="s">
        <v>3073</v>
      </c>
      <c r="D86" s="0" t="s">
        <v>3074</v>
      </c>
    </row>
    <row customHeight="1" ht="11.25">
      <c r="A87" s="0">
        <v>87</v>
      </c>
      <c r="B87" s="0" t="s">
        <v>3061</v>
      </c>
      <c r="C87" s="0" t="s">
        <v>3075</v>
      </c>
      <c r="D87" s="0" t="s">
        <v>3076</v>
      </c>
    </row>
    <row customHeight="1" ht="11.25">
      <c r="A88" s="0">
        <v>88</v>
      </c>
      <c r="B88" s="0" t="s">
        <v>3061</v>
      </c>
      <c r="C88" s="0" t="s">
        <v>3077</v>
      </c>
      <c r="D88" s="0" t="s">
        <v>3078</v>
      </c>
    </row>
    <row customHeight="1" ht="11.25">
      <c r="A89" s="0">
        <v>89</v>
      </c>
      <c r="B89" s="0" t="s">
        <v>3079</v>
      </c>
      <c r="C89" s="0" t="s">
        <v>3080</v>
      </c>
      <c r="D89" s="0" t="s">
        <v>3081</v>
      </c>
    </row>
    <row customHeight="1" ht="11.25">
      <c r="A90" s="0">
        <v>90</v>
      </c>
      <c r="B90" s="0" t="s">
        <v>3079</v>
      </c>
      <c r="C90" s="0" t="s">
        <v>3082</v>
      </c>
      <c r="D90" s="0" t="s">
        <v>3083</v>
      </c>
    </row>
    <row customHeight="1" ht="11.25">
      <c r="A91" s="0">
        <v>91</v>
      </c>
      <c r="B91" s="0" t="s">
        <v>3079</v>
      </c>
      <c r="C91" s="0" t="s">
        <v>3079</v>
      </c>
      <c r="D91" s="0" t="s">
        <v>3084</v>
      </c>
    </row>
    <row customHeight="1" ht="11.25">
      <c r="A92" s="0">
        <v>92</v>
      </c>
      <c r="B92" s="0" t="s">
        <v>3079</v>
      </c>
      <c r="C92" s="0" t="s">
        <v>3085</v>
      </c>
      <c r="D92" s="0" t="s">
        <v>3086</v>
      </c>
    </row>
    <row customHeight="1" ht="11.25">
      <c r="A93" s="0">
        <v>93</v>
      </c>
      <c r="B93" s="0" t="s">
        <v>3079</v>
      </c>
      <c r="C93" s="0" t="s">
        <v>3087</v>
      </c>
      <c r="D93" s="0" t="s">
        <v>3088</v>
      </c>
    </row>
    <row customHeight="1" ht="11.25">
      <c r="A94" s="0">
        <v>94</v>
      </c>
      <c r="B94" s="0" t="s">
        <v>3079</v>
      </c>
      <c r="C94" s="0" t="s">
        <v>3089</v>
      </c>
      <c r="D94" s="0" t="s">
        <v>3090</v>
      </c>
    </row>
    <row customHeight="1" ht="11.25">
      <c r="A95" s="0">
        <v>95</v>
      </c>
      <c r="B95" s="0" t="s">
        <v>3079</v>
      </c>
      <c r="C95" s="0" t="s">
        <v>3091</v>
      </c>
      <c r="D95" s="0" t="s">
        <v>3092</v>
      </c>
    </row>
    <row customHeight="1" ht="11.25">
      <c r="A96" s="0">
        <v>96</v>
      </c>
      <c r="B96" s="0" t="s">
        <v>3079</v>
      </c>
      <c r="C96" s="0" t="s">
        <v>3093</v>
      </c>
      <c r="D96" s="0" t="s">
        <v>3094</v>
      </c>
    </row>
    <row customHeight="1" ht="11.25">
      <c r="A97" s="0">
        <v>97</v>
      </c>
      <c r="B97" s="0" t="s">
        <v>3079</v>
      </c>
      <c r="C97" s="0" t="s">
        <v>3095</v>
      </c>
      <c r="D97" s="0" t="s">
        <v>3096</v>
      </c>
    </row>
    <row customHeight="1" ht="11.25">
      <c r="A98" s="0">
        <v>98</v>
      </c>
      <c r="B98" s="0" t="s">
        <v>3079</v>
      </c>
      <c r="C98" s="0" t="s">
        <v>3097</v>
      </c>
      <c r="D98" s="0" t="s">
        <v>3098</v>
      </c>
    </row>
    <row customHeight="1" ht="11.25">
      <c r="A99" s="0">
        <v>99</v>
      </c>
      <c r="B99" s="0" t="s">
        <v>3079</v>
      </c>
      <c r="C99" s="0" t="s">
        <v>3099</v>
      </c>
      <c r="D99" s="0" t="s">
        <v>3100</v>
      </c>
    </row>
    <row customHeight="1" ht="11.25">
      <c r="A100" s="0">
        <v>100</v>
      </c>
      <c r="B100" s="0" t="s">
        <v>3079</v>
      </c>
      <c r="C100" s="0" t="s">
        <v>3101</v>
      </c>
      <c r="D100" s="0" t="s">
        <v>3102</v>
      </c>
    </row>
    <row customHeight="1" ht="11.25">
      <c r="A101" s="0">
        <v>101</v>
      </c>
      <c r="B101" s="0" t="s">
        <v>3103</v>
      </c>
      <c r="C101" s="0" t="s">
        <v>3103</v>
      </c>
      <c r="D101" s="0" t="s">
        <v>3104</v>
      </c>
    </row>
    <row customHeight="1" ht="11.25">
      <c r="A102" s="0">
        <v>102</v>
      </c>
      <c r="B102" s="0" t="s">
        <v>3105</v>
      </c>
      <c r="C102" s="0" t="s">
        <v>3105</v>
      </c>
      <c r="D102" s="0" t="s">
        <v>3106</v>
      </c>
    </row>
    <row customHeight="1" ht="11.25">
      <c r="A103" s="0">
        <v>103</v>
      </c>
      <c r="B103" s="0" t="s">
        <v>3107</v>
      </c>
      <c r="C103" s="0" t="s">
        <v>3107</v>
      </c>
      <c r="D103" s="0" t="s">
        <v>3108</v>
      </c>
    </row>
    <row customHeight="1" ht="11.25">
      <c r="A104" s="0">
        <v>104</v>
      </c>
      <c r="B104" s="0" t="s">
        <v>3109</v>
      </c>
      <c r="C104" s="0" t="s">
        <v>3109</v>
      </c>
      <c r="D104" s="0" t="s">
        <v>3110</v>
      </c>
    </row>
    <row customHeight="1" ht="11.25">
      <c r="A105" s="0">
        <v>105</v>
      </c>
      <c r="B105" s="0" t="s">
        <v>3111</v>
      </c>
      <c r="C105" s="0" t="s">
        <v>3111</v>
      </c>
      <c r="D105" s="0" t="s">
        <v>3112</v>
      </c>
    </row>
    <row customHeight="1" ht="11.25">
      <c r="A106" s="0">
        <v>106</v>
      </c>
      <c r="B106" s="0" t="s">
        <v>3113</v>
      </c>
      <c r="C106" s="0" t="s">
        <v>3113</v>
      </c>
      <c r="D106" s="0" t="s">
        <v>3114</v>
      </c>
    </row>
    <row customHeight="1" ht="11.25">
      <c r="A107" s="0">
        <v>107</v>
      </c>
      <c r="B107" s="0" t="s">
        <v>3115</v>
      </c>
      <c r="C107" s="0" t="s">
        <v>3115</v>
      </c>
      <c r="D107" s="0" t="s">
        <v>3116</v>
      </c>
    </row>
    <row customHeight="1" ht="11.25">
      <c r="A108" s="0">
        <v>108</v>
      </c>
      <c r="B108" s="0" t="s">
        <v>3117</v>
      </c>
      <c r="C108" s="0" t="s">
        <v>3117</v>
      </c>
      <c r="D108" s="0" t="s">
        <v>3118</v>
      </c>
    </row>
    <row customHeight="1" ht="11.25">
      <c r="A109" s="0">
        <v>109</v>
      </c>
      <c r="B109" s="0" t="s">
        <v>3119</v>
      </c>
      <c r="C109" s="0" t="s">
        <v>3119</v>
      </c>
      <c r="D109" s="0" t="s">
        <v>3120</v>
      </c>
    </row>
    <row customHeight="1" ht="11.25">
      <c r="A110" s="0">
        <v>110</v>
      </c>
      <c r="B110" s="0" t="s">
        <v>3121</v>
      </c>
      <c r="C110" s="0" t="s">
        <v>3121</v>
      </c>
      <c r="D110" s="0" t="s">
        <v>3122</v>
      </c>
    </row>
    <row customHeight="1" ht="11.25">
      <c r="A111" s="0">
        <v>111</v>
      </c>
      <c r="B111" s="0" t="s">
        <v>3121</v>
      </c>
      <c r="C111" s="0" t="s">
        <v>3123</v>
      </c>
      <c r="D111" s="0" t="s">
        <v>3124</v>
      </c>
    </row>
    <row customHeight="1" ht="11.25">
      <c r="A112" s="0">
        <v>112</v>
      </c>
      <c r="B112" s="0" t="s">
        <v>3121</v>
      </c>
      <c r="C112" s="0" t="s">
        <v>3125</v>
      </c>
      <c r="D112" s="0" t="s">
        <v>3126</v>
      </c>
    </row>
    <row customHeight="1" ht="11.25">
      <c r="A113" s="0">
        <v>113</v>
      </c>
      <c r="B113" s="0" t="s">
        <v>3121</v>
      </c>
      <c r="C113" s="0" t="s">
        <v>3127</v>
      </c>
      <c r="D113" s="0" t="s">
        <v>3128</v>
      </c>
    </row>
    <row customHeight="1" ht="11.25">
      <c r="A114" s="0">
        <v>114</v>
      </c>
      <c r="B114" s="0" t="s">
        <v>3121</v>
      </c>
      <c r="C114" s="0" t="s">
        <v>3129</v>
      </c>
      <c r="D114" s="0" t="s">
        <v>3130</v>
      </c>
    </row>
    <row customHeight="1" ht="11.25">
      <c r="A115" s="0">
        <v>115</v>
      </c>
      <c r="B115" s="0" t="s">
        <v>3121</v>
      </c>
      <c r="C115" s="0" t="s">
        <v>3005</v>
      </c>
      <c r="D115" s="0" t="s">
        <v>3131</v>
      </c>
    </row>
    <row customHeight="1" ht="11.25">
      <c r="A116" s="0">
        <v>116</v>
      </c>
      <c r="B116" s="0" t="s">
        <v>3121</v>
      </c>
      <c r="C116" s="0" t="s">
        <v>3009</v>
      </c>
      <c r="D116" s="0" t="s">
        <v>3132</v>
      </c>
    </row>
    <row customHeight="1" ht="11.25">
      <c r="A117" s="0">
        <v>117</v>
      </c>
      <c r="B117" s="0" t="s">
        <v>3121</v>
      </c>
      <c r="C117" s="0" t="s">
        <v>3133</v>
      </c>
      <c r="D117" s="0" t="s">
        <v>3134</v>
      </c>
    </row>
    <row customHeight="1" ht="11.25">
      <c r="A118" s="0">
        <v>118</v>
      </c>
      <c r="B118" s="0" t="s">
        <v>3121</v>
      </c>
      <c r="C118" s="0" t="s">
        <v>3135</v>
      </c>
      <c r="D118" s="0" t="s">
        <v>3136</v>
      </c>
    </row>
    <row customHeight="1" ht="11.25">
      <c r="A119" s="0">
        <v>119</v>
      </c>
      <c r="B119" s="0" t="s">
        <v>3137</v>
      </c>
      <c r="C119" s="0" t="s">
        <v>3138</v>
      </c>
      <c r="D119" s="0" t="s">
        <v>3139</v>
      </c>
    </row>
    <row customHeight="1" ht="11.25">
      <c r="A120" s="0">
        <v>120</v>
      </c>
      <c r="B120" s="0" t="s">
        <v>3137</v>
      </c>
      <c r="C120" s="0" t="s">
        <v>3137</v>
      </c>
      <c r="D120" s="0" t="s">
        <v>3140</v>
      </c>
    </row>
    <row customHeight="1" ht="11.25">
      <c r="A121" s="0">
        <v>121</v>
      </c>
      <c r="B121" s="0" t="s">
        <v>3137</v>
      </c>
      <c r="C121" s="0" t="s">
        <v>3141</v>
      </c>
      <c r="D121" s="0" t="s">
        <v>3142</v>
      </c>
    </row>
    <row customHeight="1" ht="11.25">
      <c r="A122" s="0">
        <v>122</v>
      </c>
      <c r="B122" s="0" t="s">
        <v>3137</v>
      </c>
      <c r="C122" s="0" t="s">
        <v>3143</v>
      </c>
      <c r="D122" s="0" t="s">
        <v>3144</v>
      </c>
    </row>
    <row customHeight="1" ht="11.25">
      <c r="A123" s="0">
        <v>123</v>
      </c>
      <c r="B123" s="0" t="s">
        <v>3137</v>
      </c>
      <c r="C123" s="0" t="s">
        <v>3145</v>
      </c>
      <c r="D123" s="0" t="s">
        <v>3146</v>
      </c>
    </row>
    <row customHeight="1" ht="11.25">
      <c r="A124" s="0">
        <v>124</v>
      </c>
      <c r="B124" s="0" t="s">
        <v>3137</v>
      </c>
      <c r="C124" s="0" t="s">
        <v>3147</v>
      </c>
      <c r="D124" s="0" t="s">
        <v>3148</v>
      </c>
    </row>
    <row customHeight="1" ht="11.25">
      <c r="A125" s="0">
        <v>125</v>
      </c>
      <c r="B125" s="0" t="s">
        <v>3137</v>
      </c>
      <c r="C125" s="0" t="s">
        <v>3149</v>
      </c>
      <c r="D125" s="0" t="s">
        <v>3150</v>
      </c>
    </row>
    <row customHeight="1" ht="11.25">
      <c r="A126" s="0">
        <v>126</v>
      </c>
      <c r="B126" s="0" t="s">
        <v>3151</v>
      </c>
      <c r="C126" s="0" t="s">
        <v>3151</v>
      </c>
      <c r="D126" s="0" t="s">
        <v>3152</v>
      </c>
    </row>
    <row customHeight="1" ht="11.25">
      <c r="A127" s="0">
        <v>127</v>
      </c>
      <c r="B127" s="0" t="s">
        <v>3153</v>
      </c>
      <c r="C127" s="0" t="s">
        <v>3154</v>
      </c>
      <c r="D127" s="0" t="s">
        <v>3155</v>
      </c>
    </row>
    <row customHeight="1" ht="11.25">
      <c r="A128" s="0">
        <v>128</v>
      </c>
      <c r="B128" s="0" t="s">
        <v>3153</v>
      </c>
      <c r="C128" s="0" t="s">
        <v>3156</v>
      </c>
      <c r="D128" s="0" t="s">
        <v>3157</v>
      </c>
    </row>
    <row customHeight="1" ht="11.25">
      <c r="A129" s="0">
        <v>129</v>
      </c>
      <c r="B129" s="0" t="s">
        <v>3153</v>
      </c>
      <c r="C129" s="0" t="s">
        <v>3158</v>
      </c>
      <c r="D129" s="0" t="s">
        <v>3159</v>
      </c>
    </row>
    <row customHeight="1" ht="11.25">
      <c r="A130" s="0">
        <v>130</v>
      </c>
      <c r="B130" s="0" t="s">
        <v>3153</v>
      </c>
      <c r="C130" s="0" t="s">
        <v>3153</v>
      </c>
      <c r="D130" s="0" t="s">
        <v>3160</v>
      </c>
    </row>
    <row customHeight="1" ht="11.25">
      <c r="A131" s="0">
        <v>131</v>
      </c>
      <c r="B131" s="0" t="s">
        <v>3153</v>
      </c>
      <c r="C131" s="0" t="s">
        <v>3161</v>
      </c>
      <c r="D131" s="0" t="s">
        <v>3162</v>
      </c>
    </row>
    <row customHeight="1" ht="11.25">
      <c r="A132" s="0">
        <v>132</v>
      </c>
      <c r="B132" s="0" t="s">
        <v>3153</v>
      </c>
      <c r="C132" s="0" t="s">
        <v>3163</v>
      </c>
      <c r="D132" s="0" t="s">
        <v>3164</v>
      </c>
    </row>
    <row customHeight="1" ht="11.25">
      <c r="A133" s="0">
        <v>133</v>
      </c>
      <c r="B133" s="0" t="s">
        <v>3153</v>
      </c>
      <c r="C133" s="0" t="s">
        <v>3165</v>
      </c>
      <c r="D133" s="0" t="s">
        <v>3166</v>
      </c>
    </row>
    <row customHeight="1" ht="11.25">
      <c r="A134" s="0">
        <v>134</v>
      </c>
      <c r="B134" s="0" t="s">
        <v>3153</v>
      </c>
      <c r="C134" s="0" t="s">
        <v>3167</v>
      </c>
      <c r="D134" s="0" t="s">
        <v>3168</v>
      </c>
    </row>
    <row customHeight="1" ht="11.25">
      <c r="A135" s="0">
        <v>135</v>
      </c>
      <c r="B135" s="0" t="s">
        <v>3153</v>
      </c>
      <c r="C135" s="0" t="s">
        <v>3169</v>
      </c>
      <c r="D135" s="0" t="s">
        <v>3170</v>
      </c>
    </row>
    <row customHeight="1" ht="11.25">
      <c r="A136" s="0">
        <v>136</v>
      </c>
      <c r="B136" s="0" t="s">
        <v>3153</v>
      </c>
      <c r="C136" s="0" t="s">
        <v>3171</v>
      </c>
      <c r="D136" s="0" t="s">
        <v>3172</v>
      </c>
    </row>
    <row customHeight="1" ht="11.25">
      <c r="A137" s="0">
        <v>137</v>
      </c>
      <c r="B137" s="0" t="s">
        <v>3153</v>
      </c>
      <c r="C137" s="0" t="s">
        <v>3173</v>
      </c>
      <c r="D137" s="0" t="s">
        <v>3174</v>
      </c>
    </row>
    <row customHeight="1" ht="11.25">
      <c r="A138" s="0">
        <v>138</v>
      </c>
      <c r="B138" s="0" t="s">
        <v>3153</v>
      </c>
      <c r="C138" s="0" t="s">
        <v>3175</v>
      </c>
      <c r="D138" s="0" t="s">
        <v>3176</v>
      </c>
    </row>
    <row customHeight="1" ht="11.25">
      <c r="A139" s="0">
        <v>139</v>
      </c>
      <c r="B139" s="0" t="s">
        <v>3153</v>
      </c>
      <c r="C139" s="0" t="s">
        <v>3177</v>
      </c>
      <c r="D139" s="0" t="s">
        <v>3178</v>
      </c>
    </row>
    <row customHeight="1" ht="11.25">
      <c r="A140" s="0">
        <v>140</v>
      </c>
      <c r="B140" s="0" t="s">
        <v>3179</v>
      </c>
      <c r="C140" s="0" t="s">
        <v>3179</v>
      </c>
      <c r="D140" s="0" t="s">
        <v>3180</v>
      </c>
    </row>
    <row customHeight="1" ht="11.25">
      <c r="A141" s="0">
        <v>141</v>
      </c>
      <c r="B141" s="0" t="s">
        <v>3181</v>
      </c>
      <c r="C141" s="0" t="s">
        <v>3182</v>
      </c>
      <c r="D141" s="0" t="s">
        <v>3183</v>
      </c>
    </row>
    <row customHeight="1" ht="11.25">
      <c r="A142" s="0">
        <v>142</v>
      </c>
      <c r="B142" s="0" t="s">
        <v>3181</v>
      </c>
      <c r="C142" s="0" t="s">
        <v>3184</v>
      </c>
      <c r="D142" s="0" t="s">
        <v>3185</v>
      </c>
    </row>
    <row customHeight="1" ht="11.25">
      <c r="A143" s="0">
        <v>143</v>
      </c>
      <c r="B143" s="0" t="s">
        <v>3181</v>
      </c>
      <c r="C143" s="0" t="s">
        <v>3186</v>
      </c>
      <c r="D143" s="0" t="s">
        <v>3187</v>
      </c>
    </row>
    <row customHeight="1" ht="11.25">
      <c r="A144" s="0">
        <v>144</v>
      </c>
      <c r="B144" s="0" t="s">
        <v>3181</v>
      </c>
      <c r="C144" s="0" t="s">
        <v>3188</v>
      </c>
      <c r="D144" s="0" t="s">
        <v>3189</v>
      </c>
    </row>
    <row customHeight="1" ht="11.25">
      <c r="A145" s="0">
        <v>145</v>
      </c>
      <c r="B145" s="0" t="s">
        <v>3181</v>
      </c>
      <c r="C145" s="0" t="s">
        <v>3190</v>
      </c>
      <c r="D145" s="0" t="s">
        <v>3191</v>
      </c>
    </row>
    <row customHeight="1" ht="11.25">
      <c r="A146" s="0">
        <v>146</v>
      </c>
      <c r="B146" s="0" t="s">
        <v>3181</v>
      </c>
      <c r="C146" s="0" t="s">
        <v>3192</v>
      </c>
      <c r="D146" s="0" t="s">
        <v>3193</v>
      </c>
    </row>
    <row customHeight="1" ht="11.25">
      <c r="A147" s="0">
        <v>147</v>
      </c>
      <c r="B147" s="0" t="s">
        <v>3181</v>
      </c>
      <c r="C147" s="0" t="s">
        <v>3194</v>
      </c>
      <c r="D147" s="0" t="s">
        <v>3195</v>
      </c>
    </row>
    <row customHeight="1" ht="11.25">
      <c r="A148" s="0">
        <v>148</v>
      </c>
      <c r="B148" s="0" t="s">
        <v>3181</v>
      </c>
      <c r="C148" s="0" t="s">
        <v>3181</v>
      </c>
      <c r="D148" s="0" t="s">
        <v>3196</v>
      </c>
    </row>
    <row customHeight="1" ht="11.25">
      <c r="A149" s="0">
        <v>149</v>
      </c>
      <c r="B149" s="0" t="s">
        <v>3181</v>
      </c>
      <c r="C149" s="0" t="s">
        <v>3197</v>
      </c>
      <c r="D149" s="0" t="s">
        <v>3198</v>
      </c>
    </row>
    <row customHeight="1" ht="11.25">
      <c r="A150" s="0">
        <v>150</v>
      </c>
      <c r="B150" s="0" t="s">
        <v>3181</v>
      </c>
      <c r="C150" s="0" t="s">
        <v>3199</v>
      </c>
      <c r="D150" s="0" t="s">
        <v>3200</v>
      </c>
    </row>
    <row customHeight="1" ht="11.25">
      <c r="A151" s="0">
        <v>151</v>
      </c>
      <c r="B151" s="0" t="s">
        <v>3181</v>
      </c>
      <c r="C151" s="0" t="s">
        <v>3201</v>
      </c>
      <c r="D151" s="0" t="s">
        <v>3202</v>
      </c>
    </row>
    <row customHeight="1" ht="11.25">
      <c r="A152" s="0">
        <v>152</v>
      </c>
      <c r="B152" s="0" t="s">
        <v>3181</v>
      </c>
      <c r="C152" s="0" t="s">
        <v>3203</v>
      </c>
      <c r="D152" s="0" t="s">
        <v>3204</v>
      </c>
    </row>
    <row customHeight="1" ht="11.25">
      <c r="A153" s="0">
        <v>153</v>
      </c>
      <c r="B153" s="0" t="s">
        <v>3181</v>
      </c>
      <c r="C153" s="0" t="s">
        <v>3205</v>
      </c>
      <c r="D153" s="0" t="s">
        <v>3206</v>
      </c>
    </row>
    <row customHeight="1" ht="11.25">
      <c r="A154" s="0">
        <v>154</v>
      </c>
      <c r="B154" s="0" t="s">
        <v>3181</v>
      </c>
      <c r="C154" s="0" t="s">
        <v>3207</v>
      </c>
      <c r="D154" s="0" t="s">
        <v>3208</v>
      </c>
    </row>
    <row customHeight="1" ht="11.25">
      <c r="A155" s="0">
        <v>155</v>
      </c>
      <c r="B155" s="0" t="s">
        <v>3181</v>
      </c>
      <c r="C155" s="0" t="s">
        <v>3209</v>
      </c>
      <c r="D155" s="0" t="s">
        <v>3210</v>
      </c>
    </row>
    <row customHeight="1" ht="11.25">
      <c r="A156" s="0">
        <v>156</v>
      </c>
      <c r="B156" s="0" t="s">
        <v>3181</v>
      </c>
      <c r="C156" s="0" t="s">
        <v>3211</v>
      </c>
      <c r="D156" s="0" t="s">
        <v>3212</v>
      </c>
    </row>
    <row customHeight="1" ht="11.25">
      <c r="A157" s="0">
        <v>157</v>
      </c>
      <c r="B157" s="0" t="s">
        <v>3181</v>
      </c>
      <c r="C157" s="0" t="s">
        <v>3213</v>
      </c>
      <c r="D157" s="0" t="s">
        <v>3214</v>
      </c>
    </row>
    <row customHeight="1" ht="11.25">
      <c r="A158" s="0">
        <v>158</v>
      </c>
      <c r="B158" s="0" t="s">
        <v>3181</v>
      </c>
      <c r="C158" s="0" t="s">
        <v>3215</v>
      </c>
      <c r="D158" s="0" t="s">
        <v>3216</v>
      </c>
    </row>
    <row customHeight="1" ht="11.25">
      <c r="A159" s="0">
        <v>159</v>
      </c>
      <c r="B159" s="0" t="s">
        <v>3181</v>
      </c>
      <c r="C159" s="0" t="s">
        <v>3217</v>
      </c>
      <c r="D159" s="0" t="s">
        <v>3218</v>
      </c>
    </row>
    <row customHeight="1" ht="11.25">
      <c r="A160" s="0">
        <v>160</v>
      </c>
      <c r="B160" s="0" t="s">
        <v>3181</v>
      </c>
      <c r="C160" s="0" t="s">
        <v>3219</v>
      </c>
      <c r="D160" s="0" t="s">
        <v>3220</v>
      </c>
    </row>
    <row customHeight="1" ht="11.25">
      <c r="A161" s="0">
        <v>161</v>
      </c>
      <c r="B161" s="0" t="s">
        <v>3181</v>
      </c>
      <c r="C161" s="0" t="s">
        <v>3221</v>
      </c>
      <c r="D161" s="0" t="s">
        <v>3222</v>
      </c>
    </row>
    <row customHeight="1" ht="11.25">
      <c r="A162" s="0">
        <v>162</v>
      </c>
      <c r="B162" s="0" t="s">
        <v>3223</v>
      </c>
      <c r="C162" s="0" t="s">
        <v>3224</v>
      </c>
      <c r="D162" s="0" t="s">
        <v>3225</v>
      </c>
    </row>
    <row customHeight="1" ht="11.25">
      <c r="A163" s="0">
        <v>163</v>
      </c>
      <c r="B163" s="0" t="s">
        <v>3223</v>
      </c>
      <c r="C163" s="0" t="s">
        <v>3223</v>
      </c>
      <c r="D163" s="0" t="s">
        <v>3226</v>
      </c>
    </row>
    <row customHeight="1" ht="11.25">
      <c r="A164" s="0">
        <v>164</v>
      </c>
      <c r="B164" s="0" t="s">
        <v>3223</v>
      </c>
      <c r="C164" s="0" t="s">
        <v>3227</v>
      </c>
      <c r="D164" s="0" t="s">
        <v>3228</v>
      </c>
    </row>
    <row customHeight="1" ht="11.25">
      <c r="A165" s="0">
        <v>165</v>
      </c>
      <c r="B165" s="0" t="s">
        <v>3223</v>
      </c>
      <c r="C165" s="0" t="s">
        <v>3229</v>
      </c>
      <c r="D165" s="0" t="s">
        <v>3230</v>
      </c>
    </row>
    <row customHeight="1" ht="11.25">
      <c r="A166" s="0">
        <v>166</v>
      </c>
      <c r="B166" s="0" t="s">
        <v>3223</v>
      </c>
      <c r="C166" s="0" t="s">
        <v>3231</v>
      </c>
      <c r="D166" s="0" t="s">
        <v>3232</v>
      </c>
    </row>
    <row customHeight="1" ht="11.25">
      <c r="A167" s="0">
        <v>167</v>
      </c>
      <c r="B167" s="0" t="s">
        <v>3223</v>
      </c>
      <c r="C167" s="0" t="s">
        <v>3233</v>
      </c>
      <c r="D167" s="0" t="s">
        <v>3234</v>
      </c>
    </row>
    <row customHeight="1" ht="11.25">
      <c r="A168" s="0">
        <v>168</v>
      </c>
      <c r="B168" s="0" t="s">
        <v>3223</v>
      </c>
      <c r="C168" s="0" t="s">
        <v>3235</v>
      </c>
      <c r="D168" s="0" t="s">
        <v>3236</v>
      </c>
    </row>
    <row customHeight="1" ht="11.25">
      <c r="A169" s="0">
        <v>169</v>
      </c>
      <c r="B169" s="0" t="s">
        <v>3223</v>
      </c>
      <c r="C169" s="0" t="s">
        <v>3237</v>
      </c>
      <c r="D169" s="0" t="s">
        <v>3238</v>
      </c>
    </row>
    <row customHeight="1" ht="11.25">
      <c r="A170" s="0">
        <v>170</v>
      </c>
      <c r="B170" s="0" t="s">
        <v>3223</v>
      </c>
      <c r="C170" s="0" t="s">
        <v>3239</v>
      </c>
      <c r="D170" s="0" t="s">
        <v>3240</v>
      </c>
    </row>
    <row customHeight="1" ht="11.25">
      <c r="A171" s="0">
        <v>171</v>
      </c>
      <c r="B171" s="0" t="s">
        <v>3241</v>
      </c>
      <c r="C171" s="0" t="s">
        <v>3242</v>
      </c>
      <c r="D171" s="0" t="s">
        <v>3243</v>
      </c>
    </row>
    <row customHeight="1" ht="11.25">
      <c r="A172" s="0">
        <v>172</v>
      </c>
      <c r="B172" s="0" t="s">
        <v>3241</v>
      </c>
      <c r="C172" s="0" t="s">
        <v>3241</v>
      </c>
      <c r="D172" s="0" t="s">
        <v>3244</v>
      </c>
    </row>
    <row customHeight="1" ht="11.25">
      <c r="A173" s="0">
        <v>173</v>
      </c>
      <c r="B173" s="0" t="s">
        <v>3241</v>
      </c>
      <c r="C173" s="0" t="s">
        <v>3245</v>
      </c>
      <c r="D173" s="0" t="s">
        <v>3246</v>
      </c>
    </row>
    <row customHeight="1" ht="11.25">
      <c r="A174" s="0">
        <v>174</v>
      </c>
      <c r="B174" s="0" t="s">
        <v>3241</v>
      </c>
      <c r="C174" s="0" t="s">
        <v>3247</v>
      </c>
      <c r="D174" s="0" t="s">
        <v>3248</v>
      </c>
    </row>
    <row customHeight="1" ht="11.25">
      <c r="A175" s="0">
        <v>175</v>
      </c>
      <c r="B175" s="0" t="s">
        <v>3241</v>
      </c>
      <c r="C175" s="0" t="s">
        <v>3249</v>
      </c>
      <c r="D175" s="0" t="s">
        <v>3250</v>
      </c>
    </row>
    <row customHeight="1" ht="11.25">
      <c r="A176" s="0">
        <v>176</v>
      </c>
      <c r="B176" s="0" t="s">
        <v>3241</v>
      </c>
      <c r="C176" s="0" t="s">
        <v>3231</v>
      </c>
      <c r="D176" s="0" t="s">
        <v>3251</v>
      </c>
    </row>
    <row customHeight="1" ht="11.25">
      <c r="A177" s="0">
        <v>177</v>
      </c>
      <c r="B177" s="0" t="s">
        <v>3241</v>
      </c>
      <c r="C177" s="0" t="s">
        <v>3252</v>
      </c>
      <c r="D177" s="0" t="s">
        <v>3253</v>
      </c>
    </row>
    <row customHeight="1" ht="11.25">
      <c r="A178" s="0">
        <v>178</v>
      </c>
      <c r="B178" s="0" t="s">
        <v>3241</v>
      </c>
      <c r="C178" s="0" t="s">
        <v>3254</v>
      </c>
      <c r="D178" s="0" t="s">
        <v>3255</v>
      </c>
    </row>
    <row customHeight="1" ht="11.25">
      <c r="A179" s="0">
        <v>179</v>
      </c>
      <c r="B179" s="0" t="s">
        <v>3241</v>
      </c>
      <c r="C179" s="0" t="s">
        <v>3256</v>
      </c>
      <c r="D179" s="0" t="s">
        <v>3257</v>
      </c>
    </row>
    <row customHeight="1" ht="11.25">
      <c r="A180" s="0">
        <v>180</v>
      </c>
      <c r="B180" s="0" t="s">
        <v>3241</v>
      </c>
      <c r="C180" s="0" t="s">
        <v>3258</v>
      </c>
      <c r="D180" s="0" t="s">
        <v>3259</v>
      </c>
    </row>
    <row customHeight="1" ht="11.25">
      <c r="A181" s="0">
        <v>181</v>
      </c>
      <c r="B181" s="0" t="s">
        <v>3260</v>
      </c>
      <c r="C181" s="0" t="s">
        <v>3261</v>
      </c>
      <c r="D181" s="0" t="s">
        <v>3262</v>
      </c>
    </row>
    <row customHeight="1" ht="11.25">
      <c r="A182" s="0">
        <v>182</v>
      </c>
      <c r="B182" s="0" t="s">
        <v>3260</v>
      </c>
      <c r="C182" s="0" t="s">
        <v>3263</v>
      </c>
      <c r="D182" s="0" t="s">
        <v>3264</v>
      </c>
    </row>
    <row customHeight="1" ht="11.25">
      <c r="A183" s="0">
        <v>183</v>
      </c>
      <c r="B183" s="0" t="s">
        <v>3260</v>
      </c>
      <c r="C183" s="0" t="s">
        <v>3265</v>
      </c>
      <c r="D183" s="0" t="s">
        <v>3266</v>
      </c>
    </row>
    <row customHeight="1" ht="11.25">
      <c r="A184" s="0">
        <v>184</v>
      </c>
      <c r="B184" s="0" t="s">
        <v>3260</v>
      </c>
      <c r="C184" s="0" t="s">
        <v>3260</v>
      </c>
      <c r="D184" s="0" t="s">
        <v>3267</v>
      </c>
    </row>
    <row customHeight="1" ht="11.25">
      <c r="A185" s="0">
        <v>185</v>
      </c>
      <c r="B185" s="0" t="s">
        <v>3260</v>
      </c>
      <c r="C185" s="0" t="s">
        <v>3268</v>
      </c>
      <c r="D185" s="0" t="s">
        <v>3269</v>
      </c>
    </row>
    <row customHeight="1" ht="11.25">
      <c r="A186" s="0">
        <v>186</v>
      </c>
      <c r="B186" s="0" t="s">
        <v>3260</v>
      </c>
      <c r="C186" s="0" t="s">
        <v>3270</v>
      </c>
      <c r="D186" s="0" t="s">
        <v>3271</v>
      </c>
    </row>
    <row customHeight="1" ht="11.25">
      <c r="A187" s="0">
        <v>187</v>
      </c>
      <c r="B187" s="0" t="s">
        <v>3260</v>
      </c>
      <c r="C187" s="0" t="s">
        <v>3272</v>
      </c>
      <c r="D187" s="0" t="s">
        <v>3273</v>
      </c>
    </row>
    <row customHeight="1" ht="11.25">
      <c r="A188" s="0">
        <v>188</v>
      </c>
      <c r="B188" s="0" t="s">
        <v>3260</v>
      </c>
      <c r="C188" s="0" t="s">
        <v>3274</v>
      </c>
      <c r="D188" s="0" t="s">
        <v>3275</v>
      </c>
    </row>
    <row customHeight="1" ht="11.25">
      <c r="A189" s="0">
        <v>189</v>
      </c>
      <c r="B189" s="0" t="s">
        <v>3260</v>
      </c>
      <c r="C189" s="0" t="s">
        <v>3276</v>
      </c>
      <c r="D189" s="0" t="s">
        <v>3277</v>
      </c>
    </row>
    <row customHeight="1" ht="11.25">
      <c r="A190" s="0">
        <v>190</v>
      </c>
      <c r="B190" s="0" t="s">
        <v>3260</v>
      </c>
      <c r="C190" s="0" t="s">
        <v>3278</v>
      </c>
      <c r="D190" s="0" t="s">
        <v>3279</v>
      </c>
    </row>
    <row customHeight="1" ht="11.25">
      <c r="A191" s="0">
        <v>191</v>
      </c>
      <c r="B191" s="0" t="s">
        <v>3260</v>
      </c>
      <c r="C191" s="0" t="s">
        <v>3280</v>
      </c>
      <c r="D191" s="0" t="s">
        <v>3281</v>
      </c>
    </row>
    <row customHeight="1" ht="11.25">
      <c r="A192" s="0">
        <v>192</v>
      </c>
      <c r="B192" s="0" t="s">
        <v>3282</v>
      </c>
      <c r="C192" s="0" t="s">
        <v>3283</v>
      </c>
      <c r="D192" s="0" t="s">
        <v>3284</v>
      </c>
    </row>
    <row customHeight="1" ht="11.25">
      <c r="A193" s="0">
        <v>193</v>
      </c>
      <c r="B193" s="0" t="s">
        <v>3282</v>
      </c>
      <c r="C193" s="0" t="s">
        <v>3285</v>
      </c>
      <c r="D193" s="0" t="s">
        <v>3286</v>
      </c>
    </row>
    <row customHeight="1" ht="11.25">
      <c r="A194" s="0">
        <v>194</v>
      </c>
      <c r="B194" s="0" t="s">
        <v>3282</v>
      </c>
      <c r="C194" s="0" t="s">
        <v>3158</v>
      </c>
      <c r="D194" s="0" t="s">
        <v>3287</v>
      </c>
    </row>
    <row customHeight="1" ht="11.25">
      <c r="A195" s="0">
        <v>195</v>
      </c>
      <c r="B195" s="0" t="s">
        <v>3282</v>
      </c>
      <c r="C195" s="0" t="s">
        <v>3282</v>
      </c>
      <c r="D195" s="0" t="s">
        <v>3288</v>
      </c>
    </row>
    <row customHeight="1" ht="11.25">
      <c r="A196" s="0">
        <v>196</v>
      </c>
      <c r="B196" s="0" t="s">
        <v>3282</v>
      </c>
      <c r="C196" s="0" t="s">
        <v>3289</v>
      </c>
      <c r="D196" s="0" t="s">
        <v>3290</v>
      </c>
    </row>
    <row customHeight="1" ht="11.25">
      <c r="A197" s="0">
        <v>197</v>
      </c>
      <c r="B197" s="0" t="s">
        <v>3282</v>
      </c>
      <c r="C197" s="0" t="s">
        <v>3291</v>
      </c>
      <c r="D197" s="0" t="s">
        <v>3292</v>
      </c>
    </row>
    <row customHeight="1" ht="11.25">
      <c r="A198" s="0">
        <v>198</v>
      </c>
      <c r="B198" s="0" t="s">
        <v>3282</v>
      </c>
      <c r="C198" s="0" t="s">
        <v>3293</v>
      </c>
      <c r="D198" s="0" t="s">
        <v>3294</v>
      </c>
    </row>
    <row customHeight="1" ht="11.25">
      <c r="A199" s="0">
        <v>199</v>
      </c>
      <c r="B199" s="0" t="s">
        <v>3282</v>
      </c>
      <c r="C199" s="0" t="s">
        <v>3295</v>
      </c>
      <c r="D199" s="0" t="s">
        <v>3296</v>
      </c>
    </row>
    <row customHeight="1" ht="11.25">
      <c r="A200" s="0">
        <v>200</v>
      </c>
      <c r="B200" s="0" t="s">
        <v>3282</v>
      </c>
      <c r="C200" s="0" t="s">
        <v>3297</v>
      </c>
      <c r="D200" s="0" t="s">
        <v>3298</v>
      </c>
    </row>
    <row customHeight="1" ht="11.25">
      <c r="A201" s="0">
        <v>201</v>
      </c>
      <c r="B201" s="0" t="s">
        <v>3282</v>
      </c>
      <c r="C201" s="0" t="s">
        <v>3299</v>
      </c>
      <c r="D201" s="0" t="s">
        <v>3300</v>
      </c>
    </row>
    <row customHeight="1" ht="11.25">
      <c r="A202" s="0">
        <v>202</v>
      </c>
      <c r="B202" s="0" t="s">
        <v>3282</v>
      </c>
      <c r="C202" s="0" t="s">
        <v>3301</v>
      </c>
      <c r="D202" s="0" t="s">
        <v>3302</v>
      </c>
    </row>
    <row customHeight="1" ht="11.25">
      <c r="A203" s="0">
        <v>203</v>
      </c>
      <c r="B203" s="0" t="s">
        <v>3282</v>
      </c>
      <c r="C203" s="0" t="s">
        <v>3303</v>
      </c>
      <c r="D203" s="0" t="s">
        <v>3304</v>
      </c>
    </row>
    <row customHeight="1" ht="11.25">
      <c r="A204" s="0">
        <v>204</v>
      </c>
      <c r="B204" s="0" t="s">
        <v>3282</v>
      </c>
      <c r="C204" s="0" t="s">
        <v>3305</v>
      </c>
      <c r="D204" s="0" t="s">
        <v>3306</v>
      </c>
    </row>
    <row customHeight="1" ht="11.25">
      <c r="A205" s="0">
        <v>205</v>
      </c>
      <c r="B205" s="0" t="s">
        <v>3282</v>
      </c>
      <c r="C205" s="0" t="s">
        <v>3307</v>
      </c>
      <c r="D205" s="0" t="s">
        <v>3308</v>
      </c>
    </row>
    <row customHeight="1" ht="11.25">
      <c r="A206" s="0">
        <v>206</v>
      </c>
      <c r="B206" s="0" t="s">
        <v>3282</v>
      </c>
      <c r="C206" s="0" t="s">
        <v>3309</v>
      </c>
      <c r="D206" s="0" t="s">
        <v>3310</v>
      </c>
    </row>
    <row customHeight="1" ht="11.25">
      <c r="A207" s="0">
        <v>207</v>
      </c>
      <c r="B207" s="0" t="s">
        <v>3311</v>
      </c>
      <c r="C207" s="0" t="s">
        <v>3312</v>
      </c>
      <c r="D207" s="0" t="s">
        <v>3313</v>
      </c>
    </row>
    <row customHeight="1" ht="11.25">
      <c r="A208" s="0">
        <v>208</v>
      </c>
      <c r="B208" s="0" t="s">
        <v>3311</v>
      </c>
      <c r="C208" s="0" t="s">
        <v>3314</v>
      </c>
      <c r="D208" s="0" t="s">
        <v>3315</v>
      </c>
    </row>
    <row customHeight="1" ht="11.25">
      <c r="A209" s="0">
        <v>209</v>
      </c>
      <c r="B209" s="0" t="s">
        <v>3311</v>
      </c>
      <c r="C209" s="0" t="s">
        <v>3316</v>
      </c>
      <c r="D209" s="0" t="s">
        <v>3317</v>
      </c>
    </row>
    <row customHeight="1" ht="11.25">
      <c r="A210" s="0">
        <v>210</v>
      </c>
      <c r="B210" s="0" t="s">
        <v>3311</v>
      </c>
      <c r="C210" s="0" t="s">
        <v>3318</v>
      </c>
      <c r="D210" s="0" t="s">
        <v>3319</v>
      </c>
    </row>
    <row customHeight="1" ht="11.25">
      <c r="A211" s="0">
        <v>211</v>
      </c>
      <c r="B211" s="0" t="s">
        <v>3311</v>
      </c>
      <c r="C211" s="0" t="s">
        <v>3311</v>
      </c>
      <c r="D211" s="0" t="s">
        <v>3320</v>
      </c>
    </row>
    <row customHeight="1" ht="11.25">
      <c r="A212" s="0">
        <v>212</v>
      </c>
      <c r="B212" s="0" t="s">
        <v>3311</v>
      </c>
      <c r="C212" s="0" t="s">
        <v>3321</v>
      </c>
      <c r="D212" s="0" t="s">
        <v>3322</v>
      </c>
    </row>
    <row customHeight="1" ht="11.25">
      <c r="A213" s="0">
        <v>213</v>
      </c>
      <c r="B213" s="0" t="s">
        <v>3311</v>
      </c>
      <c r="C213" s="0" t="s">
        <v>3323</v>
      </c>
      <c r="D213" s="0" t="s">
        <v>3324</v>
      </c>
    </row>
    <row customHeight="1" ht="11.25">
      <c r="A214" s="0">
        <v>214</v>
      </c>
      <c r="B214" s="0" t="s">
        <v>3311</v>
      </c>
      <c r="C214" s="0" t="s">
        <v>3325</v>
      </c>
      <c r="D214" s="0" t="s">
        <v>3326</v>
      </c>
    </row>
    <row customHeight="1" ht="11.25">
      <c r="A215" s="0">
        <v>215</v>
      </c>
      <c r="B215" s="0" t="s">
        <v>3311</v>
      </c>
      <c r="C215" s="0" t="s">
        <v>3327</v>
      </c>
      <c r="D215" s="0" t="s">
        <v>3328</v>
      </c>
    </row>
    <row customHeight="1" ht="11.25">
      <c r="A216" s="0">
        <v>216</v>
      </c>
      <c r="B216" s="0" t="s">
        <v>3311</v>
      </c>
      <c r="C216" s="0" t="s">
        <v>3329</v>
      </c>
      <c r="D216" s="0" t="s">
        <v>3330</v>
      </c>
    </row>
    <row customHeight="1" ht="11.25">
      <c r="A217" s="0">
        <v>217</v>
      </c>
      <c r="B217" s="0" t="s">
        <v>3311</v>
      </c>
      <c r="C217" s="0" t="s">
        <v>3331</v>
      </c>
      <c r="D217" s="0" t="s">
        <v>3332</v>
      </c>
    </row>
    <row customHeight="1" ht="11.25">
      <c r="A218" s="0">
        <v>218</v>
      </c>
      <c r="B218" s="0" t="s">
        <v>3333</v>
      </c>
      <c r="C218" s="0" t="s">
        <v>3334</v>
      </c>
      <c r="D218" s="0" t="s">
        <v>3335</v>
      </c>
    </row>
    <row customHeight="1" ht="11.25">
      <c r="A219" s="0">
        <v>219</v>
      </c>
      <c r="B219" s="0" t="s">
        <v>3333</v>
      </c>
      <c r="C219" s="0" t="s">
        <v>3336</v>
      </c>
      <c r="D219" s="0" t="s">
        <v>3337</v>
      </c>
    </row>
    <row customHeight="1" ht="11.25">
      <c r="A220" s="0">
        <v>220</v>
      </c>
      <c r="B220" s="0" t="s">
        <v>3333</v>
      </c>
      <c r="C220" s="0" t="s">
        <v>3338</v>
      </c>
      <c r="D220" s="0" t="s">
        <v>3339</v>
      </c>
    </row>
    <row customHeight="1" ht="11.25">
      <c r="A221" s="0">
        <v>221</v>
      </c>
      <c r="B221" s="0" t="s">
        <v>3333</v>
      </c>
      <c r="C221" s="0" t="s">
        <v>3340</v>
      </c>
      <c r="D221" s="0" t="s">
        <v>3341</v>
      </c>
    </row>
    <row customHeight="1" ht="11.25">
      <c r="A222" s="0">
        <v>222</v>
      </c>
      <c r="B222" s="0" t="s">
        <v>3333</v>
      </c>
      <c r="C222" s="0" t="s">
        <v>3342</v>
      </c>
      <c r="D222" s="0" t="s">
        <v>3343</v>
      </c>
    </row>
    <row customHeight="1" ht="11.25">
      <c r="A223" s="0">
        <v>223</v>
      </c>
      <c r="B223" s="0" t="s">
        <v>3333</v>
      </c>
      <c r="C223" s="0" t="s">
        <v>3333</v>
      </c>
      <c r="D223" s="0" t="s">
        <v>3344</v>
      </c>
    </row>
    <row customHeight="1" ht="11.25">
      <c r="A224" s="0">
        <v>224</v>
      </c>
      <c r="B224" s="0" t="s">
        <v>3333</v>
      </c>
      <c r="C224" s="0" t="s">
        <v>3345</v>
      </c>
      <c r="D224" s="0" t="s">
        <v>3346</v>
      </c>
    </row>
    <row customHeight="1" ht="11.25">
      <c r="A225" s="0">
        <v>225</v>
      </c>
      <c r="B225" s="0" t="s">
        <v>3333</v>
      </c>
      <c r="C225" s="0" t="s">
        <v>3347</v>
      </c>
      <c r="D225" s="0" t="s">
        <v>3348</v>
      </c>
    </row>
    <row customHeight="1" ht="11.25">
      <c r="A226" s="0">
        <v>226</v>
      </c>
      <c r="B226" s="0" t="s">
        <v>3333</v>
      </c>
      <c r="C226" s="0" t="s">
        <v>3349</v>
      </c>
      <c r="D226" s="0" t="s">
        <v>3350</v>
      </c>
    </row>
    <row customHeight="1" ht="11.25">
      <c r="A227" s="0">
        <v>227</v>
      </c>
      <c r="B227" s="0" t="s">
        <v>3333</v>
      </c>
      <c r="C227" s="0" t="s">
        <v>3351</v>
      </c>
      <c r="D227" s="0" t="s">
        <v>3352</v>
      </c>
    </row>
    <row customHeight="1" ht="11.25">
      <c r="A228" s="0">
        <v>228</v>
      </c>
      <c r="B228" s="0" t="s">
        <v>3333</v>
      </c>
      <c r="C228" s="0" t="s">
        <v>3293</v>
      </c>
      <c r="D228" s="0" t="s">
        <v>3353</v>
      </c>
    </row>
    <row customHeight="1" ht="11.25">
      <c r="A229" s="0">
        <v>229</v>
      </c>
      <c r="B229" s="0" t="s">
        <v>3333</v>
      </c>
      <c r="C229" s="0" t="s">
        <v>3354</v>
      </c>
      <c r="D229" s="0" t="s">
        <v>3355</v>
      </c>
    </row>
    <row customHeight="1" ht="11.25">
      <c r="A230" s="0">
        <v>230</v>
      </c>
      <c r="B230" s="0" t="s">
        <v>3356</v>
      </c>
      <c r="C230" s="0" t="s">
        <v>3080</v>
      </c>
      <c r="D230" s="0" t="s">
        <v>3357</v>
      </c>
    </row>
    <row customHeight="1" ht="11.25">
      <c r="A231" s="0">
        <v>231</v>
      </c>
      <c r="B231" s="0" t="s">
        <v>3356</v>
      </c>
      <c r="C231" s="0" t="s">
        <v>3358</v>
      </c>
      <c r="D231" s="0" t="s">
        <v>3359</v>
      </c>
    </row>
    <row customHeight="1" ht="11.25">
      <c r="A232" s="0">
        <v>232</v>
      </c>
      <c r="B232" s="0" t="s">
        <v>3356</v>
      </c>
      <c r="C232" s="0" t="s">
        <v>3356</v>
      </c>
      <c r="D232" s="0" t="s">
        <v>3360</v>
      </c>
    </row>
    <row customHeight="1" ht="11.25">
      <c r="A233" s="0">
        <v>233</v>
      </c>
      <c r="B233" s="0" t="s">
        <v>3356</v>
      </c>
      <c r="C233" s="0" t="s">
        <v>3361</v>
      </c>
      <c r="D233" s="0" t="s">
        <v>3362</v>
      </c>
    </row>
    <row customHeight="1" ht="11.25">
      <c r="A234" s="0">
        <v>234</v>
      </c>
      <c r="B234" s="0" t="s">
        <v>3356</v>
      </c>
      <c r="C234" s="0" t="s">
        <v>3363</v>
      </c>
      <c r="D234" s="0" t="s">
        <v>3364</v>
      </c>
    </row>
    <row customHeight="1" ht="11.25">
      <c r="A235" s="0">
        <v>235</v>
      </c>
      <c r="B235" s="0" t="s">
        <v>3356</v>
      </c>
      <c r="C235" s="0" t="s">
        <v>3365</v>
      </c>
      <c r="D235" s="0" t="s">
        <v>3366</v>
      </c>
    </row>
    <row customHeight="1" ht="11.25">
      <c r="A236" s="0">
        <v>236</v>
      </c>
      <c r="B236" s="0" t="s">
        <v>3356</v>
      </c>
      <c r="C236" s="0" t="s">
        <v>3367</v>
      </c>
      <c r="D236" s="0" t="s">
        <v>3368</v>
      </c>
    </row>
    <row customHeight="1" ht="11.25">
      <c r="A237" s="0">
        <v>237</v>
      </c>
      <c r="B237" s="0" t="s">
        <v>3356</v>
      </c>
      <c r="C237" s="0" t="s">
        <v>3369</v>
      </c>
      <c r="D237" s="0" t="s">
        <v>3370</v>
      </c>
    </row>
    <row customHeight="1" ht="11.25">
      <c r="A238" s="0">
        <v>238</v>
      </c>
      <c r="B238" s="0" t="s">
        <v>3356</v>
      </c>
      <c r="C238" s="0" t="s">
        <v>3371</v>
      </c>
      <c r="D238" s="0" t="s">
        <v>3372</v>
      </c>
    </row>
    <row customHeight="1" ht="11.25">
      <c r="A239" s="0">
        <v>239</v>
      </c>
      <c r="B239" s="0" t="s">
        <v>3373</v>
      </c>
      <c r="C239" s="0" t="s">
        <v>3374</v>
      </c>
      <c r="D239" s="0" t="s">
        <v>3375</v>
      </c>
    </row>
    <row customHeight="1" ht="11.25">
      <c r="A240" s="0">
        <v>240</v>
      </c>
      <c r="B240" s="0" t="s">
        <v>3373</v>
      </c>
      <c r="C240" s="0" t="s">
        <v>3080</v>
      </c>
      <c r="D240" s="0" t="s">
        <v>3376</v>
      </c>
    </row>
    <row customHeight="1" ht="11.25">
      <c r="A241" s="0">
        <v>241</v>
      </c>
      <c r="B241" s="0" t="s">
        <v>3373</v>
      </c>
      <c r="C241" s="0" t="s">
        <v>3184</v>
      </c>
      <c r="D241" s="0" t="s">
        <v>3377</v>
      </c>
    </row>
    <row customHeight="1" ht="11.25">
      <c r="A242" s="0">
        <v>242</v>
      </c>
      <c r="B242" s="0" t="s">
        <v>3373</v>
      </c>
      <c r="C242" s="0" t="s">
        <v>3378</v>
      </c>
      <c r="D242" s="0" t="s">
        <v>3379</v>
      </c>
    </row>
    <row customHeight="1" ht="11.25">
      <c r="A243" s="0">
        <v>243</v>
      </c>
      <c r="B243" s="0" t="s">
        <v>3373</v>
      </c>
      <c r="C243" s="0" t="s">
        <v>3373</v>
      </c>
      <c r="D243" s="0" t="s">
        <v>3380</v>
      </c>
    </row>
    <row customHeight="1" ht="11.25">
      <c r="A244" s="0">
        <v>244</v>
      </c>
      <c r="B244" s="0" t="s">
        <v>3373</v>
      </c>
      <c r="C244" s="0" t="s">
        <v>3381</v>
      </c>
      <c r="D244" s="0" t="s">
        <v>3382</v>
      </c>
    </row>
    <row customHeight="1" ht="11.25">
      <c r="A245" s="0">
        <v>245</v>
      </c>
      <c r="B245" s="0" t="s">
        <v>3373</v>
      </c>
      <c r="C245" s="0" t="s">
        <v>3383</v>
      </c>
      <c r="D245" s="0" t="s">
        <v>3384</v>
      </c>
    </row>
    <row customHeight="1" ht="11.25">
      <c r="A246" s="0">
        <v>246</v>
      </c>
      <c r="B246" s="0" t="s">
        <v>3373</v>
      </c>
      <c r="C246" s="0" t="s">
        <v>3385</v>
      </c>
      <c r="D246" s="0" t="s">
        <v>3386</v>
      </c>
    </row>
    <row customHeight="1" ht="11.25">
      <c r="A247" s="0">
        <v>247</v>
      </c>
      <c r="B247" s="0" t="s">
        <v>3373</v>
      </c>
      <c r="C247" s="0" t="s">
        <v>3387</v>
      </c>
      <c r="D247" s="0" t="s">
        <v>3388</v>
      </c>
    </row>
    <row customHeight="1" ht="11.25">
      <c r="A248" s="0">
        <v>248</v>
      </c>
      <c r="B248" s="0" t="s">
        <v>3373</v>
      </c>
      <c r="C248" s="0" t="s">
        <v>3389</v>
      </c>
      <c r="D248" s="0" t="s">
        <v>3390</v>
      </c>
    </row>
    <row customHeight="1" ht="11.25">
      <c r="A249" s="0">
        <v>249</v>
      </c>
      <c r="B249" s="0" t="s">
        <v>3373</v>
      </c>
      <c r="C249" s="0" t="s">
        <v>3391</v>
      </c>
      <c r="D249" s="0" t="s">
        <v>3392</v>
      </c>
    </row>
    <row customHeight="1" ht="11.25">
      <c r="A250" s="0">
        <v>250</v>
      </c>
      <c r="B250" s="0" t="s">
        <v>3373</v>
      </c>
      <c r="C250" s="0" t="s">
        <v>3393</v>
      </c>
      <c r="D250" s="0" t="s">
        <v>3394</v>
      </c>
    </row>
    <row customHeight="1" ht="11.25">
      <c r="A251" s="0">
        <v>251</v>
      </c>
      <c r="B251" s="0" t="s">
        <v>3373</v>
      </c>
      <c r="C251" s="0" t="s">
        <v>3395</v>
      </c>
      <c r="D251" s="0" t="s">
        <v>3396</v>
      </c>
    </row>
    <row customHeight="1" ht="11.25">
      <c r="A252" s="0">
        <v>252</v>
      </c>
      <c r="B252" s="0" t="s">
        <v>3373</v>
      </c>
      <c r="C252" s="0" t="s">
        <v>3397</v>
      </c>
      <c r="D252" s="0" t="s">
        <v>3398</v>
      </c>
    </row>
    <row customHeight="1" ht="11.25">
      <c r="A253" s="0">
        <v>253</v>
      </c>
      <c r="B253" s="0" t="s">
        <v>3399</v>
      </c>
      <c r="C253" s="0" t="s">
        <v>2914</v>
      </c>
      <c r="D253" s="0" t="s">
        <v>3400</v>
      </c>
    </row>
    <row customHeight="1" ht="11.25">
      <c r="A254" s="0">
        <v>254</v>
      </c>
      <c r="B254" s="0" t="s">
        <v>3399</v>
      </c>
      <c r="C254" s="0" t="s">
        <v>3401</v>
      </c>
      <c r="D254" s="0" t="s">
        <v>3402</v>
      </c>
    </row>
    <row customHeight="1" ht="11.25">
      <c r="A255" s="0">
        <v>255</v>
      </c>
      <c r="B255" s="0" t="s">
        <v>3399</v>
      </c>
      <c r="C255" s="0" t="s">
        <v>3403</v>
      </c>
      <c r="D255" s="0" t="s">
        <v>3404</v>
      </c>
    </row>
    <row customHeight="1" ht="11.25">
      <c r="A256" s="0">
        <v>256</v>
      </c>
      <c r="B256" s="0" t="s">
        <v>3399</v>
      </c>
      <c r="C256" s="0" t="s">
        <v>3405</v>
      </c>
      <c r="D256" s="0" t="s">
        <v>3406</v>
      </c>
    </row>
    <row customHeight="1" ht="11.25">
      <c r="A257" s="0">
        <v>257</v>
      </c>
      <c r="B257" s="0" t="s">
        <v>3399</v>
      </c>
      <c r="C257" s="0" t="s">
        <v>3399</v>
      </c>
      <c r="D257" s="0" t="s">
        <v>3407</v>
      </c>
    </row>
    <row customHeight="1" ht="11.25">
      <c r="A258" s="0">
        <v>258</v>
      </c>
      <c r="B258" s="0" t="s">
        <v>3399</v>
      </c>
      <c r="C258" s="0" t="s">
        <v>3408</v>
      </c>
      <c r="D258" s="0" t="s">
        <v>3409</v>
      </c>
    </row>
    <row customHeight="1" ht="11.25">
      <c r="A259" s="0">
        <v>259</v>
      </c>
      <c r="B259" s="0" t="s">
        <v>3399</v>
      </c>
      <c r="C259" s="0" t="s">
        <v>3410</v>
      </c>
      <c r="D259" s="0" t="s">
        <v>3411</v>
      </c>
    </row>
    <row customHeight="1" ht="11.25">
      <c r="A260" s="0">
        <v>260</v>
      </c>
      <c r="B260" s="0" t="s">
        <v>3399</v>
      </c>
      <c r="C260" s="0" t="s">
        <v>3412</v>
      </c>
      <c r="D260" s="0" t="s">
        <v>3413</v>
      </c>
    </row>
    <row customHeight="1" ht="11.25">
      <c r="A261" s="0">
        <v>261</v>
      </c>
      <c r="B261" s="0" t="s">
        <v>3399</v>
      </c>
      <c r="C261" s="0" t="s">
        <v>3414</v>
      </c>
      <c r="D261" s="0" t="s">
        <v>3415</v>
      </c>
    </row>
    <row customHeight="1" ht="11.25">
      <c r="A262" s="0">
        <v>262</v>
      </c>
      <c r="B262" s="0" t="s">
        <v>3399</v>
      </c>
      <c r="C262" s="0" t="s">
        <v>3416</v>
      </c>
      <c r="D262" s="0" t="s">
        <v>3417</v>
      </c>
    </row>
    <row customHeight="1" ht="11.25">
      <c r="A263" s="0">
        <v>263</v>
      </c>
      <c r="B263" s="0" t="s">
        <v>3418</v>
      </c>
      <c r="C263" s="0" t="s">
        <v>3419</v>
      </c>
      <c r="D263" s="0" t="s">
        <v>3420</v>
      </c>
    </row>
    <row customHeight="1" ht="11.25">
      <c r="A264" s="0">
        <v>264</v>
      </c>
      <c r="B264" s="0" t="s">
        <v>3418</v>
      </c>
      <c r="C264" s="0" t="s">
        <v>3421</v>
      </c>
      <c r="D264" s="0" t="s">
        <v>3422</v>
      </c>
    </row>
    <row customHeight="1" ht="11.25">
      <c r="A265" s="0">
        <v>265</v>
      </c>
      <c r="B265" s="0" t="s">
        <v>3418</v>
      </c>
      <c r="C265" s="0" t="s">
        <v>3423</v>
      </c>
      <c r="D265" s="0" t="s">
        <v>3424</v>
      </c>
    </row>
    <row customHeight="1" ht="11.25">
      <c r="A266" s="0">
        <v>266</v>
      </c>
      <c r="B266" s="0" t="s">
        <v>3418</v>
      </c>
      <c r="C266" s="0" t="s">
        <v>3425</v>
      </c>
      <c r="D266" s="0" t="s">
        <v>3426</v>
      </c>
    </row>
    <row customHeight="1" ht="11.25">
      <c r="A267" s="0">
        <v>267</v>
      </c>
      <c r="B267" s="0" t="s">
        <v>3418</v>
      </c>
      <c r="C267" s="0" t="s">
        <v>3418</v>
      </c>
      <c r="D267" s="0" t="s">
        <v>3427</v>
      </c>
    </row>
    <row customHeight="1" ht="11.25">
      <c r="A268" s="0">
        <v>268</v>
      </c>
      <c r="B268" s="0" t="s">
        <v>3418</v>
      </c>
      <c r="C268" s="0" t="s">
        <v>3428</v>
      </c>
      <c r="D268" s="0" t="s">
        <v>3429</v>
      </c>
    </row>
    <row customHeight="1" ht="11.25">
      <c r="A269" s="0">
        <v>269</v>
      </c>
      <c r="B269" s="0" t="s">
        <v>3418</v>
      </c>
      <c r="C269" s="0" t="s">
        <v>3430</v>
      </c>
      <c r="D269" s="0" t="s">
        <v>3431</v>
      </c>
    </row>
    <row customHeight="1" ht="11.25">
      <c r="A270" s="0">
        <v>270</v>
      </c>
      <c r="B270" s="0" t="s">
        <v>3418</v>
      </c>
      <c r="C270" s="0" t="s">
        <v>3432</v>
      </c>
      <c r="D270" s="0" t="s">
        <v>3433</v>
      </c>
    </row>
    <row customHeight="1" ht="11.25">
      <c r="A271" s="0">
        <v>271</v>
      </c>
      <c r="B271" s="0" t="s">
        <v>3418</v>
      </c>
      <c r="C271" s="0" t="s">
        <v>3231</v>
      </c>
      <c r="D271" s="0" t="s">
        <v>3434</v>
      </c>
    </row>
    <row customHeight="1" ht="11.25">
      <c r="A272" s="0">
        <v>272</v>
      </c>
      <c r="B272" s="0" t="s">
        <v>3418</v>
      </c>
      <c r="C272" s="0" t="s">
        <v>3435</v>
      </c>
      <c r="D272" s="0" t="s">
        <v>3436</v>
      </c>
    </row>
    <row customHeight="1" ht="11.25">
      <c r="A273" s="0">
        <v>273</v>
      </c>
      <c r="B273" s="0" t="s">
        <v>3437</v>
      </c>
      <c r="C273" s="0" t="s">
        <v>3438</v>
      </c>
      <c r="D273" s="0" t="s">
        <v>3439</v>
      </c>
    </row>
    <row customHeight="1" ht="11.25">
      <c r="A274" s="0">
        <v>274</v>
      </c>
      <c r="B274" s="0" t="s">
        <v>3437</v>
      </c>
      <c r="C274" s="0" t="s">
        <v>3440</v>
      </c>
      <c r="D274" s="0" t="s">
        <v>3441</v>
      </c>
    </row>
    <row customHeight="1" ht="11.25">
      <c r="A275" s="0">
        <v>275</v>
      </c>
      <c r="B275" s="0" t="s">
        <v>3437</v>
      </c>
      <c r="C275" s="0" t="s">
        <v>3442</v>
      </c>
      <c r="D275" s="0" t="s">
        <v>3443</v>
      </c>
    </row>
    <row customHeight="1" ht="11.25">
      <c r="A276" s="0">
        <v>276</v>
      </c>
      <c r="B276" s="0" t="s">
        <v>3437</v>
      </c>
      <c r="C276" s="0" t="s">
        <v>3444</v>
      </c>
      <c r="D276" s="0" t="s">
        <v>3445</v>
      </c>
    </row>
    <row customHeight="1" ht="11.25">
      <c r="A277" s="0">
        <v>277</v>
      </c>
      <c r="B277" s="0" t="s">
        <v>3437</v>
      </c>
      <c r="C277" s="0" t="s">
        <v>3446</v>
      </c>
      <c r="D277" s="0" t="s">
        <v>3447</v>
      </c>
    </row>
    <row customHeight="1" ht="11.25">
      <c r="A278" s="0">
        <v>278</v>
      </c>
      <c r="B278" s="0" t="s">
        <v>3437</v>
      </c>
      <c r="C278" s="0" t="s">
        <v>3448</v>
      </c>
      <c r="D278" s="0" t="s">
        <v>3449</v>
      </c>
    </row>
    <row customHeight="1" ht="11.25">
      <c r="A279" s="0">
        <v>279</v>
      </c>
      <c r="B279" s="0" t="s">
        <v>3437</v>
      </c>
      <c r="C279" s="0" t="s">
        <v>3437</v>
      </c>
      <c r="D279" s="0" t="s">
        <v>3450</v>
      </c>
    </row>
    <row customHeight="1" ht="11.25">
      <c r="A280" s="0">
        <v>280</v>
      </c>
      <c r="B280" s="0" t="s">
        <v>3437</v>
      </c>
      <c r="C280" s="0" t="s">
        <v>3451</v>
      </c>
      <c r="D280" s="0" t="s">
        <v>3452</v>
      </c>
    </row>
    <row customHeight="1" ht="11.25">
      <c r="A281" s="0">
        <v>281</v>
      </c>
      <c r="B281" s="0" t="s">
        <v>3437</v>
      </c>
      <c r="C281" s="0" t="s">
        <v>3453</v>
      </c>
      <c r="D281" s="0" t="s">
        <v>3454</v>
      </c>
    </row>
    <row customHeight="1" ht="11.25">
      <c r="A282" s="0">
        <v>282</v>
      </c>
      <c r="B282" s="0" t="s">
        <v>3437</v>
      </c>
      <c r="C282" s="0" t="s">
        <v>3455</v>
      </c>
      <c r="D282" s="0" t="s">
        <v>3456</v>
      </c>
    </row>
    <row customHeight="1" ht="11.25">
      <c r="A283" s="0">
        <v>283</v>
      </c>
      <c r="B283" s="0" t="s">
        <v>3437</v>
      </c>
      <c r="C283" s="0" t="s">
        <v>3457</v>
      </c>
      <c r="D283" s="0" t="s">
        <v>3458</v>
      </c>
    </row>
    <row customHeight="1" ht="11.25">
      <c r="A284" s="0">
        <v>284</v>
      </c>
      <c r="B284" s="0" t="s">
        <v>3459</v>
      </c>
      <c r="C284" s="0" t="s">
        <v>3460</v>
      </c>
      <c r="D284" s="0" t="s">
        <v>3461</v>
      </c>
    </row>
    <row customHeight="1" ht="11.25">
      <c r="A285" s="0">
        <v>285</v>
      </c>
      <c r="B285" s="0" t="s">
        <v>3459</v>
      </c>
      <c r="C285" s="0" t="s">
        <v>3459</v>
      </c>
      <c r="D285" s="0" t="s">
        <v>3462</v>
      </c>
    </row>
    <row customHeight="1" ht="11.25">
      <c r="A286" s="0">
        <v>286</v>
      </c>
      <c r="B286" s="0" t="s">
        <v>3459</v>
      </c>
      <c r="C286" s="0" t="s">
        <v>3463</v>
      </c>
      <c r="D286" s="0" t="s">
        <v>3464</v>
      </c>
    </row>
    <row customHeight="1" ht="11.25">
      <c r="A287" s="0">
        <v>287</v>
      </c>
      <c r="B287" s="0" t="s">
        <v>3459</v>
      </c>
      <c r="C287" s="0" t="s">
        <v>3465</v>
      </c>
      <c r="D287" s="0" t="s">
        <v>3466</v>
      </c>
    </row>
    <row customHeight="1" ht="11.25">
      <c r="A288" s="0">
        <v>288</v>
      </c>
      <c r="B288" s="0" t="s">
        <v>3459</v>
      </c>
      <c r="C288" s="0" t="s">
        <v>3231</v>
      </c>
      <c r="D288" s="0" t="s">
        <v>3467</v>
      </c>
    </row>
    <row customHeight="1" ht="11.25">
      <c r="A289" s="0">
        <v>289</v>
      </c>
      <c r="B289" s="0" t="s">
        <v>3459</v>
      </c>
      <c r="C289" s="0" t="s">
        <v>3468</v>
      </c>
      <c r="D289" s="0" t="s">
        <v>3469</v>
      </c>
    </row>
    <row customHeight="1" ht="11.25">
      <c r="A290" s="0">
        <v>290</v>
      </c>
      <c r="B290" s="0" t="s">
        <v>3459</v>
      </c>
      <c r="C290" s="0" t="s">
        <v>3470</v>
      </c>
      <c r="D290" s="0" t="s">
        <v>3471</v>
      </c>
    </row>
    <row customHeight="1" ht="11.25">
      <c r="A291" s="0">
        <v>291</v>
      </c>
      <c r="B291" s="0" t="s">
        <v>3459</v>
      </c>
      <c r="C291" s="0" t="s">
        <v>3472</v>
      </c>
      <c r="D291" s="0" t="s">
        <v>3473</v>
      </c>
    </row>
    <row customHeight="1" ht="11.25">
      <c r="A292" s="0">
        <v>292</v>
      </c>
      <c r="B292" s="0" t="s">
        <v>3459</v>
      </c>
      <c r="C292" s="0" t="s">
        <v>3215</v>
      </c>
      <c r="D292" s="0" t="s">
        <v>3474</v>
      </c>
    </row>
    <row customHeight="1" ht="11.25">
      <c r="A293" s="0">
        <v>293</v>
      </c>
      <c r="B293" s="0" t="s">
        <v>3459</v>
      </c>
      <c r="C293" s="0" t="s">
        <v>3475</v>
      </c>
      <c r="D293" s="0" t="s">
        <v>3476</v>
      </c>
    </row>
    <row customHeight="1" ht="11.25">
      <c r="A294" s="0">
        <v>294</v>
      </c>
      <c r="B294" s="0" t="s">
        <v>3459</v>
      </c>
      <c r="C294" s="0" t="s">
        <v>3477</v>
      </c>
      <c r="D294" s="0" t="s">
        <v>3478</v>
      </c>
    </row>
    <row customHeight="1" ht="11.25">
      <c r="A295" s="0">
        <v>295</v>
      </c>
      <c r="B295" s="0" t="s">
        <v>3479</v>
      </c>
      <c r="C295" s="0" t="s">
        <v>3480</v>
      </c>
      <c r="D295" s="0" t="s">
        <v>3481</v>
      </c>
    </row>
    <row customHeight="1" ht="11.25">
      <c r="A296" s="0">
        <v>296</v>
      </c>
      <c r="B296" s="0" t="s">
        <v>3479</v>
      </c>
      <c r="C296" s="0" t="s">
        <v>3482</v>
      </c>
      <c r="D296" s="0" t="s">
        <v>3483</v>
      </c>
    </row>
    <row customHeight="1" ht="11.25">
      <c r="A297" s="0">
        <v>297</v>
      </c>
      <c r="B297" s="0" t="s">
        <v>3479</v>
      </c>
      <c r="C297" s="0" t="s">
        <v>3484</v>
      </c>
      <c r="D297" s="0" t="s">
        <v>3485</v>
      </c>
    </row>
    <row customHeight="1" ht="11.25">
      <c r="A298" s="0">
        <v>298</v>
      </c>
      <c r="B298" s="0" t="s">
        <v>3479</v>
      </c>
      <c r="C298" s="0" t="s">
        <v>3154</v>
      </c>
      <c r="D298" s="0" t="s">
        <v>3486</v>
      </c>
    </row>
    <row customHeight="1" ht="11.25">
      <c r="A299" s="0">
        <v>299</v>
      </c>
      <c r="B299" s="0" t="s">
        <v>3479</v>
      </c>
      <c r="C299" s="0" t="s">
        <v>3487</v>
      </c>
      <c r="D299" s="0" t="s">
        <v>3488</v>
      </c>
    </row>
    <row customHeight="1" ht="11.25">
      <c r="A300" s="0">
        <v>300</v>
      </c>
      <c r="B300" s="0" t="s">
        <v>3479</v>
      </c>
      <c r="C300" s="0" t="s">
        <v>3489</v>
      </c>
      <c r="D300" s="0" t="s">
        <v>3490</v>
      </c>
    </row>
    <row customHeight="1" ht="11.25">
      <c r="A301" s="0">
        <v>301</v>
      </c>
      <c r="B301" s="0" t="s">
        <v>3479</v>
      </c>
      <c r="C301" s="0" t="s">
        <v>3491</v>
      </c>
      <c r="D301" s="0" t="s">
        <v>3492</v>
      </c>
    </row>
    <row customHeight="1" ht="11.25">
      <c r="A302" s="0">
        <v>302</v>
      </c>
      <c r="B302" s="0" t="s">
        <v>3479</v>
      </c>
      <c r="C302" s="0" t="s">
        <v>2924</v>
      </c>
      <c r="D302" s="0" t="s">
        <v>3493</v>
      </c>
    </row>
    <row customHeight="1" ht="11.25">
      <c r="A303" s="0">
        <v>303</v>
      </c>
      <c r="B303" s="0" t="s">
        <v>3479</v>
      </c>
      <c r="C303" s="0" t="s">
        <v>3479</v>
      </c>
      <c r="D303" s="0" t="s">
        <v>3494</v>
      </c>
    </row>
    <row customHeight="1" ht="11.25">
      <c r="A304" s="0">
        <v>304</v>
      </c>
      <c r="B304" s="0" t="s">
        <v>3479</v>
      </c>
      <c r="C304" s="0" t="s">
        <v>3495</v>
      </c>
      <c r="D304" s="0" t="s">
        <v>3496</v>
      </c>
    </row>
    <row customHeight="1" ht="11.25">
      <c r="A305" s="0">
        <v>305</v>
      </c>
      <c r="B305" s="0" t="s">
        <v>3479</v>
      </c>
      <c r="C305" s="0" t="s">
        <v>3497</v>
      </c>
      <c r="D305" s="0" t="s">
        <v>3498</v>
      </c>
    </row>
    <row customHeight="1" ht="11.25">
      <c r="A306" s="0">
        <v>306</v>
      </c>
      <c r="B306" s="0" t="s">
        <v>3479</v>
      </c>
      <c r="C306" s="0" t="s">
        <v>3027</v>
      </c>
      <c r="D306" s="0" t="s">
        <v>3499</v>
      </c>
    </row>
    <row customHeight="1" ht="11.25">
      <c r="A307" s="0">
        <v>307</v>
      </c>
      <c r="B307" s="0" t="s">
        <v>3479</v>
      </c>
      <c r="C307" s="0" t="s">
        <v>3500</v>
      </c>
      <c r="D307" s="0" t="s">
        <v>3501</v>
      </c>
    </row>
    <row customHeight="1" ht="11.25">
      <c r="A308" s="0">
        <v>308</v>
      </c>
      <c r="B308" s="0" t="s">
        <v>3479</v>
      </c>
      <c r="C308" s="0" t="s">
        <v>3502</v>
      </c>
      <c r="D308" s="0" t="s">
        <v>3503</v>
      </c>
    </row>
    <row customHeight="1" ht="11.25">
      <c r="A309" s="0">
        <v>309</v>
      </c>
      <c r="B309" s="0" t="s">
        <v>3479</v>
      </c>
      <c r="C309" s="0" t="s">
        <v>3329</v>
      </c>
      <c r="D309" s="0" t="s">
        <v>3504</v>
      </c>
    </row>
    <row customHeight="1" ht="11.25">
      <c r="A310" s="0">
        <v>310</v>
      </c>
      <c r="B310" s="0" t="s">
        <v>3479</v>
      </c>
      <c r="C310" s="0" t="s">
        <v>3505</v>
      </c>
      <c r="D310" s="0" t="s">
        <v>3506</v>
      </c>
    </row>
    <row customHeight="1" ht="11.25">
      <c r="A311" s="0">
        <v>311</v>
      </c>
      <c r="B311" s="0" t="s">
        <v>3479</v>
      </c>
      <c r="C311" s="0" t="s">
        <v>3507</v>
      </c>
      <c r="D311" s="0" t="s">
        <v>3508</v>
      </c>
    </row>
    <row customHeight="1" ht="11.25">
      <c r="A312" s="0">
        <v>312</v>
      </c>
      <c r="B312" s="0" t="s">
        <v>3479</v>
      </c>
      <c r="C312" s="0" t="s">
        <v>3509</v>
      </c>
      <c r="D312" s="0" t="s">
        <v>3510</v>
      </c>
    </row>
    <row customHeight="1" ht="11.25">
      <c r="A313" s="0">
        <v>313</v>
      </c>
      <c r="B313" s="0" t="s">
        <v>3479</v>
      </c>
      <c r="C313" s="0" t="s">
        <v>3059</v>
      </c>
      <c r="D313" s="0" t="s">
        <v>3511</v>
      </c>
    </row>
    <row customHeight="1" ht="11.25">
      <c r="A314" s="0">
        <v>314</v>
      </c>
      <c r="B314" s="0" t="s">
        <v>3512</v>
      </c>
      <c r="C314" s="0" t="s">
        <v>3513</v>
      </c>
      <c r="D314" s="0" t="s">
        <v>3514</v>
      </c>
    </row>
    <row customHeight="1" ht="11.25">
      <c r="A315" s="0">
        <v>315</v>
      </c>
      <c r="B315" s="0" t="s">
        <v>3512</v>
      </c>
      <c r="C315" s="0" t="s">
        <v>3515</v>
      </c>
      <c r="D315" s="0" t="s">
        <v>3516</v>
      </c>
    </row>
    <row customHeight="1" ht="11.25">
      <c r="A316" s="0">
        <v>316</v>
      </c>
      <c r="B316" s="0" t="s">
        <v>3512</v>
      </c>
      <c r="C316" s="0" t="s">
        <v>3517</v>
      </c>
      <c r="D316" s="0" t="s">
        <v>3518</v>
      </c>
    </row>
    <row customHeight="1" ht="11.25">
      <c r="A317" s="0">
        <v>317</v>
      </c>
      <c r="B317" s="0" t="s">
        <v>3512</v>
      </c>
      <c r="C317" s="0" t="s">
        <v>3519</v>
      </c>
      <c r="D317" s="0" t="s">
        <v>3520</v>
      </c>
    </row>
    <row customHeight="1" ht="11.25">
      <c r="A318" s="0">
        <v>318</v>
      </c>
      <c r="B318" s="0" t="s">
        <v>3512</v>
      </c>
      <c r="C318" s="0" t="s">
        <v>3521</v>
      </c>
      <c r="D318" s="0" t="s">
        <v>3522</v>
      </c>
    </row>
    <row customHeight="1" ht="11.25">
      <c r="A319" s="0">
        <v>319</v>
      </c>
      <c r="B319" s="0" t="s">
        <v>3512</v>
      </c>
      <c r="C319" s="0" t="s">
        <v>3523</v>
      </c>
      <c r="D319" s="0" t="s">
        <v>3524</v>
      </c>
    </row>
    <row customHeight="1" ht="11.25">
      <c r="A320" s="0">
        <v>320</v>
      </c>
      <c r="B320" s="0" t="s">
        <v>3512</v>
      </c>
      <c r="C320" s="0" t="s">
        <v>3525</v>
      </c>
      <c r="D320" s="0" t="s">
        <v>3526</v>
      </c>
    </row>
    <row customHeight="1" ht="11.25">
      <c r="A321" s="0">
        <v>321</v>
      </c>
      <c r="B321" s="0" t="s">
        <v>3512</v>
      </c>
      <c r="C321" s="0" t="s">
        <v>3512</v>
      </c>
      <c r="D321" s="0" t="s">
        <v>3527</v>
      </c>
    </row>
    <row customHeight="1" ht="11.25">
      <c r="A322" s="0">
        <v>322</v>
      </c>
      <c r="B322" s="0" t="s">
        <v>3512</v>
      </c>
      <c r="C322" s="0" t="s">
        <v>3528</v>
      </c>
      <c r="D322" s="0" t="s">
        <v>3529</v>
      </c>
    </row>
    <row customHeight="1" ht="11.25">
      <c r="A323" s="0">
        <v>323</v>
      </c>
      <c r="B323" s="0" t="s">
        <v>3512</v>
      </c>
      <c r="C323" s="0" t="s">
        <v>3530</v>
      </c>
      <c r="D323" s="0" t="s">
        <v>3531</v>
      </c>
    </row>
    <row customHeight="1" ht="11.25">
      <c r="A324" s="0">
        <v>324</v>
      </c>
      <c r="B324" s="0" t="s">
        <v>3512</v>
      </c>
      <c r="C324" s="0" t="s">
        <v>3329</v>
      </c>
      <c r="D324" s="0" t="s">
        <v>3532</v>
      </c>
    </row>
    <row customHeight="1" ht="11.25">
      <c r="A325" s="0">
        <v>325</v>
      </c>
      <c r="B325" s="0" t="s">
        <v>3512</v>
      </c>
      <c r="C325" s="0" t="s">
        <v>3533</v>
      </c>
      <c r="D325" s="0" t="s">
        <v>3534</v>
      </c>
    </row>
    <row customHeight="1" ht="11.25">
      <c r="A326" s="0">
        <v>326</v>
      </c>
      <c r="B326" s="0" t="s">
        <v>3512</v>
      </c>
      <c r="C326" s="0" t="s">
        <v>3535</v>
      </c>
      <c r="D326" s="0" t="s">
        <v>3536</v>
      </c>
    </row>
    <row customHeight="1" ht="11.25">
      <c r="A327" s="0">
        <v>327</v>
      </c>
      <c r="B327" s="0" t="s">
        <v>3512</v>
      </c>
      <c r="C327" s="0" t="s">
        <v>3537</v>
      </c>
      <c r="D327" s="0" t="s">
        <v>3538</v>
      </c>
    </row>
    <row customHeight="1" ht="11.25">
      <c r="A328" s="0">
        <v>328</v>
      </c>
      <c r="B328" s="0" t="s">
        <v>3539</v>
      </c>
      <c r="C328" s="0" t="s">
        <v>3540</v>
      </c>
      <c r="D328" s="0" t="s">
        <v>3541</v>
      </c>
    </row>
    <row customHeight="1" ht="11.25">
      <c r="A329" s="0">
        <v>329</v>
      </c>
      <c r="B329" s="0" t="s">
        <v>3539</v>
      </c>
      <c r="C329" s="0" t="s">
        <v>3542</v>
      </c>
      <c r="D329" s="0" t="s">
        <v>3543</v>
      </c>
    </row>
    <row customHeight="1" ht="11.25">
      <c r="A330" s="0">
        <v>330</v>
      </c>
      <c r="B330" s="0" t="s">
        <v>3539</v>
      </c>
      <c r="C330" s="0" t="s">
        <v>3544</v>
      </c>
      <c r="D330" s="0" t="s">
        <v>3545</v>
      </c>
    </row>
    <row customHeight="1" ht="11.25">
      <c r="A331" s="0">
        <v>331</v>
      </c>
      <c r="B331" s="0" t="s">
        <v>3539</v>
      </c>
      <c r="C331" s="0" t="s">
        <v>3539</v>
      </c>
      <c r="D331" s="0" t="s">
        <v>3546</v>
      </c>
    </row>
    <row customHeight="1" ht="11.25">
      <c r="A332" s="0">
        <v>332</v>
      </c>
      <c r="B332" s="0" t="s">
        <v>3539</v>
      </c>
      <c r="C332" s="0" t="s">
        <v>3045</v>
      </c>
      <c r="D332" s="0" t="s">
        <v>3547</v>
      </c>
    </row>
    <row customHeight="1" ht="11.25">
      <c r="A333" s="0">
        <v>333</v>
      </c>
      <c r="B333" s="0" t="s">
        <v>3539</v>
      </c>
      <c r="C333" s="0" t="s">
        <v>3548</v>
      </c>
      <c r="D333" s="0" t="s">
        <v>3549</v>
      </c>
    </row>
    <row customHeight="1" ht="11.25">
      <c r="A334" s="0">
        <v>334</v>
      </c>
      <c r="B334" s="0" t="s">
        <v>3539</v>
      </c>
      <c r="C334" s="0" t="s">
        <v>3027</v>
      </c>
      <c r="D334" s="0" t="s">
        <v>3550</v>
      </c>
    </row>
    <row customHeight="1" ht="11.25">
      <c r="A335" s="0">
        <v>335</v>
      </c>
      <c r="B335" s="0" t="s">
        <v>3539</v>
      </c>
      <c r="C335" s="0" t="s">
        <v>3551</v>
      </c>
      <c r="D335" s="0" t="s">
        <v>3552</v>
      </c>
    </row>
    <row customHeight="1" ht="11.25">
      <c r="A336" s="0">
        <v>336</v>
      </c>
      <c r="B336" s="0" t="s">
        <v>3539</v>
      </c>
      <c r="C336" s="0" t="s">
        <v>3553</v>
      </c>
      <c r="D336" s="0" t="s">
        <v>3554</v>
      </c>
    </row>
    <row customHeight="1" ht="11.25">
      <c r="A337" s="0">
        <v>337</v>
      </c>
      <c r="B337" s="0" t="s">
        <v>3555</v>
      </c>
      <c r="C337" s="0" t="s">
        <v>3556</v>
      </c>
      <c r="D337" s="0" t="s">
        <v>3557</v>
      </c>
    </row>
    <row customHeight="1" ht="11.25">
      <c r="A338" s="0">
        <v>338</v>
      </c>
      <c r="B338" s="0" t="s">
        <v>3555</v>
      </c>
      <c r="C338" s="0" t="s">
        <v>3558</v>
      </c>
      <c r="D338" s="0" t="s">
        <v>3559</v>
      </c>
    </row>
    <row customHeight="1" ht="11.25">
      <c r="A339" s="0">
        <v>339</v>
      </c>
      <c r="B339" s="0" t="s">
        <v>3555</v>
      </c>
      <c r="C339" s="0" t="s">
        <v>3560</v>
      </c>
      <c r="D339" s="0" t="s">
        <v>3561</v>
      </c>
    </row>
    <row customHeight="1" ht="11.25">
      <c r="A340" s="0">
        <v>340</v>
      </c>
      <c r="B340" s="0" t="s">
        <v>3555</v>
      </c>
      <c r="C340" s="0" t="s">
        <v>3562</v>
      </c>
      <c r="D340" s="0" t="s">
        <v>3563</v>
      </c>
    </row>
    <row customHeight="1" ht="11.25">
      <c r="A341" s="0">
        <v>341</v>
      </c>
      <c r="B341" s="0" t="s">
        <v>3555</v>
      </c>
      <c r="C341" s="0" t="s">
        <v>3564</v>
      </c>
      <c r="D341" s="0" t="s">
        <v>3565</v>
      </c>
    </row>
    <row customHeight="1" ht="11.25">
      <c r="A342" s="0">
        <v>342</v>
      </c>
      <c r="B342" s="0" t="s">
        <v>3555</v>
      </c>
      <c r="C342" s="0" t="s">
        <v>3555</v>
      </c>
      <c r="D342" s="0" t="s">
        <v>3566</v>
      </c>
    </row>
    <row customHeight="1" ht="11.25">
      <c r="A343" s="0">
        <v>343</v>
      </c>
      <c r="B343" s="0" t="s">
        <v>3555</v>
      </c>
      <c r="C343" s="0" t="s">
        <v>3027</v>
      </c>
      <c r="D343" s="0" t="s">
        <v>3567</v>
      </c>
    </row>
    <row customHeight="1" ht="11.25">
      <c r="A344" s="0">
        <v>344</v>
      </c>
      <c r="B344" s="0" t="s">
        <v>3555</v>
      </c>
      <c r="C344" s="0" t="s">
        <v>3568</v>
      </c>
      <c r="D344" s="0" t="s">
        <v>3569</v>
      </c>
    </row>
    <row customHeight="1" ht="11.25">
      <c r="A345" s="0">
        <v>345</v>
      </c>
      <c r="B345" s="0" t="s">
        <v>3555</v>
      </c>
      <c r="C345" s="0" t="s">
        <v>3570</v>
      </c>
      <c r="D345" s="0" t="s">
        <v>3571</v>
      </c>
    </row>
    <row customHeight="1" ht="11.25">
      <c r="A346" s="0">
        <v>346</v>
      </c>
      <c r="B346" s="0" t="s">
        <v>3555</v>
      </c>
      <c r="C346" s="0" t="s">
        <v>3572</v>
      </c>
      <c r="D346" s="0" t="s">
        <v>3573</v>
      </c>
    </row>
    <row customHeight="1" ht="11.25">
      <c r="A347" s="0">
        <v>347</v>
      </c>
      <c r="B347" s="0" t="s">
        <v>3555</v>
      </c>
      <c r="C347" s="0" t="s">
        <v>3574</v>
      </c>
      <c r="D347" s="0" t="s">
        <v>3575</v>
      </c>
    </row>
    <row customHeight="1" ht="11.25">
      <c r="A348" s="0">
        <v>348</v>
      </c>
      <c r="B348" s="0" t="s">
        <v>3555</v>
      </c>
      <c r="C348" s="0" t="s">
        <v>3576</v>
      </c>
      <c r="D348" s="0" t="s">
        <v>3577</v>
      </c>
    </row>
    <row customHeight="1" ht="11.25">
      <c r="A349" s="0">
        <v>349</v>
      </c>
      <c r="B349" s="0" t="s">
        <v>3555</v>
      </c>
      <c r="C349" s="0" t="s">
        <v>3578</v>
      </c>
      <c r="D349" s="0" t="s">
        <v>3579</v>
      </c>
    </row>
    <row customHeight="1" ht="11.25">
      <c r="A350" s="0">
        <v>350</v>
      </c>
      <c r="B350" s="0" t="s">
        <v>3580</v>
      </c>
      <c r="C350" s="0" t="s">
        <v>3581</v>
      </c>
      <c r="D350" s="0" t="s">
        <v>3582</v>
      </c>
    </row>
    <row customHeight="1" ht="11.25">
      <c r="A351" s="0">
        <v>351</v>
      </c>
      <c r="B351" s="0" t="s">
        <v>3580</v>
      </c>
      <c r="C351" s="0" t="s">
        <v>3583</v>
      </c>
      <c r="D351" s="0" t="s">
        <v>3584</v>
      </c>
    </row>
    <row customHeight="1" ht="11.25">
      <c r="A352" s="0">
        <v>352</v>
      </c>
      <c r="B352" s="0" t="s">
        <v>3580</v>
      </c>
      <c r="C352" s="0" t="s">
        <v>3585</v>
      </c>
      <c r="D352" s="0" t="s">
        <v>3586</v>
      </c>
    </row>
    <row customHeight="1" ht="11.25">
      <c r="A353" s="0">
        <v>353</v>
      </c>
      <c r="B353" s="0" t="s">
        <v>3580</v>
      </c>
      <c r="C353" s="0" t="s">
        <v>3580</v>
      </c>
      <c r="D353" s="0" t="s">
        <v>3587</v>
      </c>
    </row>
    <row customHeight="1" ht="11.25">
      <c r="A354" s="0">
        <v>354</v>
      </c>
      <c r="B354" s="0" t="s">
        <v>3580</v>
      </c>
      <c r="C354" s="0" t="s">
        <v>3588</v>
      </c>
      <c r="D354" s="0" t="s">
        <v>3589</v>
      </c>
    </row>
    <row customHeight="1" ht="11.25">
      <c r="A355" s="0">
        <v>355</v>
      </c>
      <c r="B355" s="0" t="s">
        <v>3580</v>
      </c>
      <c r="C355" s="0" t="s">
        <v>3590</v>
      </c>
      <c r="D355" s="0" t="s">
        <v>3591</v>
      </c>
    </row>
    <row customHeight="1" ht="11.25">
      <c r="A356" s="0">
        <v>356</v>
      </c>
      <c r="B356" s="0" t="s">
        <v>3580</v>
      </c>
      <c r="C356" s="0" t="s">
        <v>3099</v>
      </c>
      <c r="D356" s="0" t="s">
        <v>3592</v>
      </c>
    </row>
    <row customHeight="1" ht="11.25">
      <c r="A357" s="0">
        <v>357</v>
      </c>
      <c r="B357" s="0" t="s">
        <v>3580</v>
      </c>
      <c r="C357" s="0" t="s">
        <v>3593</v>
      </c>
      <c r="D357" s="0" t="s">
        <v>3594</v>
      </c>
    </row>
    <row customHeight="1" ht="11.25">
      <c r="A358" s="0">
        <v>358</v>
      </c>
      <c r="B358" s="0" t="s">
        <v>3595</v>
      </c>
      <c r="C358" s="0" t="s">
        <v>3596</v>
      </c>
      <c r="D358" s="0" t="s">
        <v>3597</v>
      </c>
    </row>
    <row customHeight="1" ht="11.25">
      <c r="A359" s="0">
        <v>359</v>
      </c>
      <c r="B359" s="0" t="s">
        <v>3595</v>
      </c>
      <c r="C359" s="0" t="s">
        <v>3261</v>
      </c>
      <c r="D359" s="0" t="s">
        <v>3598</v>
      </c>
    </row>
    <row customHeight="1" ht="11.25">
      <c r="A360" s="0">
        <v>360</v>
      </c>
      <c r="B360" s="0" t="s">
        <v>3595</v>
      </c>
      <c r="C360" s="0" t="s">
        <v>3599</v>
      </c>
      <c r="D360" s="0" t="s">
        <v>3600</v>
      </c>
    </row>
    <row customHeight="1" ht="11.25">
      <c r="A361" s="0">
        <v>361</v>
      </c>
      <c r="B361" s="0" t="s">
        <v>3595</v>
      </c>
      <c r="C361" s="0" t="s">
        <v>3444</v>
      </c>
      <c r="D361" s="0" t="s">
        <v>3601</v>
      </c>
    </row>
    <row customHeight="1" ht="11.25">
      <c r="A362" s="0">
        <v>362</v>
      </c>
      <c r="B362" s="0" t="s">
        <v>3595</v>
      </c>
      <c r="C362" s="0" t="s">
        <v>3519</v>
      </c>
      <c r="D362" s="0" t="s">
        <v>3602</v>
      </c>
    </row>
    <row customHeight="1" ht="11.25">
      <c r="A363" s="0">
        <v>363</v>
      </c>
      <c r="B363" s="0" t="s">
        <v>3595</v>
      </c>
      <c r="C363" s="0" t="s">
        <v>3125</v>
      </c>
      <c r="D363" s="0" t="s">
        <v>3603</v>
      </c>
    </row>
    <row customHeight="1" ht="11.25">
      <c r="A364" s="0">
        <v>364</v>
      </c>
      <c r="B364" s="0" t="s">
        <v>3595</v>
      </c>
      <c r="C364" s="0" t="s">
        <v>3604</v>
      </c>
      <c r="D364" s="0" t="s">
        <v>3605</v>
      </c>
    </row>
    <row customHeight="1" ht="11.25">
      <c r="A365" s="0">
        <v>365</v>
      </c>
      <c r="B365" s="0" t="s">
        <v>3595</v>
      </c>
      <c r="C365" s="0" t="s">
        <v>3595</v>
      </c>
      <c r="D365" s="0" t="s">
        <v>3606</v>
      </c>
    </row>
    <row customHeight="1" ht="11.25">
      <c r="A366" s="0">
        <v>366</v>
      </c>
      <c r="B366" s="0" t="s">
        <v>3595</v>
      </c>
      <c r="C366" s="0" t="s">
        <v>3607</v>
      </c>
      <c r="D366" s="0" t="s">
        <v>3608</v>
      </c>
    </row>
    <row customHeight="1" ht="11.25">
      <c r="A367" s="0">
        <v>367</v>
      </c>
      <c r="B367" s="0" t="s">
        <v>3595</v>
      </c>
      <c r="C367" s="0" t="s">
        <v>3609</v>
      </c>
      <c r="D367" s="0" t="s">
        <v>3610</v>
      </c>
    </row>
    <row customHeight="1" ht="11.25">
      <c r="A368" s="0">
        <v>368</v>
      </c>
      <c r="B368" s="0" t="s">
        <v>3595</v>
      </c>
      <c r="C368" s="0" t="s">
        <v>3611</v>
      </c>
      <c r="D368" s="0" t="s">
        <v>3612</v>
      </c>
    </row>
    <row customHeight="1" ht="11.25">
      <c r="A369" s="0">
        <v>369</v>
      </c>
      <c r="B369" s="0" t="s">
        <v>3595</v>
      </c>
      <c r="C369" s="0" t="s">
        <v>3613</v>
      </c>
      <c r="D369" s="0" t="s">
        <v>3614</v>
      </c>
    </row>
    <row customHeight="1" ht="11.25">
      <c r="A370" s="0">
        <v>370</v>
      </c>
      <c r="B370" s="0" t="s">
        <v>3595</v>
      </c>
      <c r="C370" s="0" t="s">
        <v>3615</v>
      </c>
      <c r="D370" s="0" t="s">
        <v>3616</v>
      </c>
    </row>
    <row customHeight="1" ht="11.25">
      <c r="A371" s="0">
        <v>371</v>
      </c>
      <c r="B371" s="0" t="s">
        <v>3595</v>
      </c>
      <c r="C371" s="0" t="s">
        <v>3617</v>
      </c>
      <c r="D371" s="0" t="s">
        <v>3618</v>
      </c>
    </row>
    <row customHeight="1" ht="11.25">
      <c r="A372" s="0">
        <v>372</v>
      </c>
      <c r="B372" s="0" t="s">
        <v>3595</v>
      </c>
      <c r="C372" s="0" t="s">
        <v>3619</v>
      </c>
      <c r="D372" s="0" t="s">
        <v>3620</v>
      </c>
    </row>
    <row customHeight="1" ht="11.25">
      <c r="A373" s="0">
        <v>373</v>
      </c>
      <c r="B373" s="0" t="s">
        <v>3595</v>
      </c>
      <c r="C373" s="0" t="s">
        <v>3621</v>
      </c>
      <c r="D373" s="0" t="s">
        <v>3622</v>
      </c>
    </row>
    <row customHeight="1" ht="11.25">
      <c r="A374" s="0">
        <v>374</v>
      </c>
      <c r="B374" s="0" t="s">
        <v>3623</v>
      </c>
      <c r="C374" s="0" t="s">
        <v>3624</v>
      </c>
      <c r="D374" s="0" t="s">
        <v>3625</v>
      </c>
    </row>
    <row customHeight="1" ht="11.25">
      <c r="A375" s="0">
        <v>375</v>
      </c>
      <c r="B375" s="0" t="s">
        <v>3623</v>
      </c>
      <c r="C375" s="0" t="s">
        <v>3626</v>
      </c>
      <c r="D375" s="0" t="s">
        <v>3627</v>
      </c>
    </row>
    <row customHeight="1" ht="11.25">
      <c r="A376" s="0">
        <v>376</v>
      </c>
      <c r="B376" s="0" t="s">
        <v>3623</v>
      </c>
      <c r="C376" s="0" t="s">
        <v>3628</v>
      </c>
      <c r="D376" s="0" t="s">
        <v>3629</v>
      </c>
    </row>
    <row customHeight="1" ht="11.25">
      <c r="A377" s="0">
        <v>377</v>
      </c>
      <c r="B377" s="0" t="s">
        <v>3623</v>
      </c>
      <c r="C377" s="0" t="s">
        <v>3630</v>
      </c>
      <c r="D377" s="0" t="s">
        <v>3631</v>
      </c>
    </row>
    <row customHeight="1" ht="11.25">
      <c r="A378" s="0">
        <v>378</v>
      </c>
      <c r="B378" s="0" t="s">
        <v>3623</v>
      </c>
      <c r="C378" s="0" t="s">
        <v>3632</v>
      </c>
      <c r="D378" s="0" t="s">
        <v>3633</v>
      </c>
    </row>
    <row customHeight="1" ht="11.25">
      <c r="A379" s="0">
        <v>379</v>
      </c>
      <c r="B379" s="0" t="s">
        <v>3623</v>
      </c>
      <c r="C379" s="0" t="s">
        <v>3623</v>
      </c>
      <c r="D379" s="0" t="s">
        <v>3634</v>
      </c>
    </row>
    <row customHeight="1" ht="11.25">
      <c r="A380" s="0">
        <v>380</v>
      </c>
      <c r="B380" s="0" t="s">
        <v>3623</v>
      </c>
      <c r="C380" s="0" t="s">
        <v>3635</v>
      </c>
      <c r="D380" s="0" t="s">
        <v>3636</v>
      </c>
    </row>
    <row customHeight="1" ht="11.25">
      <c r="A381" s="0">
        <v>381</v>
      </c>
      <c r="B381" s="0" t="s">
        <v>3623</v>
      </c>
      <c r="C381" s="0" t="s">
        <v>3637</v>
      </c>
      <c r="D381" s="0" t="s">
        <v>3638</v>
      </c>
    </row>
    <row customHeight="1" ht="11.25">
      <c r="A382" s="0">
        <v>382</v>
      </c>
      <c r="B382" s="0" t="s">
        <v>3623</v>
      </c>
      <c r="C382" s="0" t="s">
        <v>3639</v>
      </c>
      <c r="D382" s="0" t="s">
        <v>3640</v>
      </c>
    </row>
    <row customHeight="1" ht="11.25">
      <c r="A383" s="0">
        <v>383</v>
      </c>
      <c r="B383" s="0" t="s">
        <v>3623</v>
      </c>
      <c r="C383" s="0" t="s">
        <v>3641</v>
      </c>
      <c r="D383" s="0" t="s">
        <v>3642</v>
      </c>
    </row>
    <row customHeight="1" ht="11.25">
      <c r="A384" s="0">
        <v>384</v>
      </c>
      <c r="B384" s="0" t="s">
        <v>3643</v>
      </c>
      <c r="C384" s="0" t="s">
        <v>3644</v>
      </c>
      <c r="D384" s="0" t="s">
        <v>3645</v>
      </c>
    </row>
    <row customHeight="1" ht="11.25">
      <c r="A385" s="0">
        <v>385</v>
      </c>
      <c r="B385" s="0" t="s">
        <v>3643</v>
      </c>
      <c r="C385" s="0" t="s">
        <v>3646</v>
      </c>
      <c r="D385" s="0" t="s">
        <v>3647</v>
      </c>
    </row>
    <row customHeight="1" ht="11.25">
      <c r="A386" s="0">
        <v>386</v>
      </c>
      <c r="B386" s="0" t="s">
        <v>3643</v>
      </c>
      <c r="C386" s="0" t="s">
        <v>3080</v>
      </c>
      <c r="D386" s="0" t="s">
        <v>3648</v>
      </c>
    </row>
    <row customHeight="1" ht="11.25">
      <c r="A387" s="0">
        <v>387</v>
      </c>
      <c r="B387" s="0" t="s">
        <v>3643</v>
      </c>
      <c r="C387" s="0" t="s">
        <v>3649</v>
      </c>
      <c r="D387" s="0" t="s">
        <v>3650</v>
      </c>
    </row>
    <row customHeight="1" ht="11.25">
      <c r="A388" s="0">
        <v>388</v>
      </c>
      <c r="B388" s="0" t="s">
        <v>3643</v>
      </c>
      <c r="C388" s="0" t="s">
        <v>3651</v>
      </c>
      <c r="D388" s="0" t="s">
        <v>3652</v>
      </c>
    </row>
    <row customHeight="1" ht="11.25">
      <c r="A389" s="0">
        <v>389</v>
      </c>
      <c r="B389" s="0" t="s">
        <v>3643</v>
      </c>
      <c r="C389" s="0" t="s">
        <v>3653</v>
      </c>
      <c r="D389" s="0" t="s">
        <v>3654</v>
      </c>
    </row>
    <row customHeight="1" ht="11.25">
      <c r="A390" s="0">
        <v>390</v>
      </c>
      <c r="B390" s="0" t="s">
        <v>3643</v>
      </c>
      <c r="C390" s="0" t="s">
        <v>3655</v>
      </c>
      <c r="D390" s="0" t="s">
        <v>3656</v>
      </c>
    </row>
    <row customHeight="1" ht="11.25">
      <c r="A391" s="0">
        <v>391</v>
      </c>
      <c r="B391" s="0" t="s">
        <v>3643</v>
      </c>
      <c r="C391" s="0" t="s">
        <v>3657</v>
      </c>
      <c r="D391" s="0" t="s">
        <v>3658</v>
      </c>
    </row>
    <row customHeight="1" ht="11.25">
      <c r="A392" s="0">
        <v>392</v>
      </c>
      <c r="B392" s="0" t="s">
        <v>3643</v>
      </c>
      <c r="C392" s="0" t="s">
        <v>3659</v>
      </c>
      <c r="D392" s="0" t="s">
        <v>3660</v>
      </c>
    </row>
    <row customHeight="1" ht="11.25">
      <c r="A393" s="0">
        <v>393</v>
      </c>
      <c r="B393" s="0" t="s">
        <v>3643</v>
      </c>
      <c r="C393" s="0" t="s">
        <v>3661</v>
      </c>
      <c r="D393" s="0" t="s">
        <v>3662</v>
      </c>
    </row>
    <row customHeight="1" ht="11.25">
      <c r="A394" s="0">
        <v>394</v>
      </c>
      <c r="B394" s="0" t="s">
        <v>3643</v>
      </c>
      <c r="C394" s="0" t="s">
        <v>3643</v>
      </c>
      <c r="D394" s="0" t="s">
        <v>3663</v>
      </c>
    </row>
    <row customHeight="1" ht="11.25">
      <c r="A395" s="0">
        <v>395</v>
      </c>
      <c r="B395" s="0" t="s">
        <v>3643</v>
      </c>
      <c r="C395" s="0" t="s">
        <v>3005</v>
      </c>
      <c r="D395" s="0" t="s">
        <v>3664</v>
      </c>
    </row>
    <row customHeight="1" ht="11.25">
      <c r="A396" s="0">
        <v>396</v>
      </c>
      <c r="B396" s="0" t="s">
        <v>3643</v>
      </c>
      <c r="C396" s="0" t="s">
        <v>3665</v>
      </c>
      <c r="D396" s="0" t="s">
        <v>3666</v>
      </c>
    </row>
    <row customHeight="1" ht="11.25">
      <c r="A397" s="0">
        <v>397</v>
      </c>
      <c r="B397" s="0" t="s">
        <v>3643</v>
      </c>
      <c r="C397" s="0" t="s">
        <v>3667</v>
      </c>
      <c r="D397" s="0" t="s">
        <v>3668</v>
      </c>
    </row>
    <row customHeight="1" ht="11.25">
      <c r="A398" s="0">
        <v>398</v>
      </c>
      <c r="B398" s="0" t="s">
        <v>3643</v>
      </c>
      <c r="C398" s="0" t="s">
        <v>3669</v>
      </c>
      <c r="D398" s="0" t="s">
        <v>3670</v>
      </c>
    </row>
    <row customHeight="1" ht="11.25">
      <c r="A399" s="0">
        <v>399</v>
      </c>
      <c r="B399" s="0" t="s">
        <v>3643</v>
      </c>
      <c r="C399" s="0" t="s">
        <v>3671</v>
      </c>
      <c r="D399" s="0" t="s">
        <v>3672</v>
      </c>
    </row>
    <row customHeight="1" ht="11.25">
      <c r="A400" s="0">
        <v>400</v>
      </c>
      <c r="B400" s="0" t="s">
        <v>3643</v>
      </c>
      <c r="C400" s="0" t="s">
        <v>3673</v>
      </c>
      <c r="D400" s="0" t="s">
        <v>3674</v>
      </c>
    </row>
    <row customHeight="1" ht="11.25">
      <c r="A401" s="0">
        <v>401</v>
      </c>
      <c r="B401" s="0" t="s">
        <v>3643</v>
      </c>
      <c r="C401" s="0" t="s">
        <v>3675</v>
      </c>
      <c r="D401" s="0" t="s">
        <v>3676</v>
      </c>
    </row>
    <row customHeight="1" ht="11.25">
      <c r="A402" s="0">
        <v>402</v>
      </c>
      <c r="B402" s="0" t="s">
        <v>3643</v>
      </c>
      <c r="C402" s="0" t="s">
        <v>3677</v>
      </c>
      <c r="D402" s="0" t="s">
        <v>3678</v>
      </c>
    </row>
    <row customHeight="1" ht="11.25">
      <c r="A403" s="0">
        <v>403</v>
      </c>
      <c r="B403" s="0" t="s">
        <v>3679</v>
      </c>
      <c r="C403" s="0" t="s">
        <v>3016</v>
      </c>
      <c r="D403" s="0" t="s">
        <v>3680</v>
      </c>
    </row>
    <row customHeight="1" ht="11.25">
      <c r="A404" s="0">
        <v>404</v>
      </c>
      <c r="B404" s="0" t="s">
        <v>3679</v>
      </c>
      <c r="C404" s="0" t="s">
        <v>3681</v>
      </c>
      <c r="D404" s="0" t="s">
        <v>3682</v>
      </c>
    </row>
    <row customHeight="1" ht="11.25">
      <c r="A405" s="0">
        <v>405</v>
      </c>
      <c r="B405" s="0" t="s">
        <v>3679</v>
      </c>
      <c r="C405" s="0" t="s">
        <v>3683</v>
      </c>
      <c r="D405" s="0" t="s">
        <v>3684</v>
      </c>
    </row>
    <row customHeight="1" ht="11.25">
      <c r="A406" s="0">
        <v>406</v>
      </c>
      <c r="B406" s="0" t="s">
        <v>3679</v>
      </c>
      <c r="C406" s="0" t="s">
        <v>3163</v>
      </c>
      <c r="D406" s="0" t="s">
        <v>3685</v>
      </c>
    </row>
    <row customHeight="1" ht="11.25">
      <c r="A407" s="0">
        <v>407</v>
      </c>
      <c r="B407" s="0" t="s">
        <v>3679</v>
      </c>
      <c r="C407" s="0" t="s">
        <v>3027</v>
      </c>
      <c r="D407" s="0" t="s">
        <v>3686</v>
      </c>
    </row>
    <row customHeight="1" ht="11.25">
      <c r="A408" s="0">
        <v>408</v>
      </c>
      <c r="B408" s="0" t="s">
        <v>3679</v>
      </c>
      <c r="C408" s="0" t="s">
        <v>3687</v>
      </c>
      <c r="D408" s="0" t="s">
        <v>3688</v>
      </c>
    </row>
    <row customHeight="1" ht="11.25">
      <c r="A409" s="0">
        <v>409</v>
      </c>
      <c r="B409" s="0" t="s">
        <v>3679</v>
      </c>
      <c r="C409" s="0" t="s">
        <v>3689</v>
      </c>
      <c r="D409" s="0" t="s">
        <v>3690</v>
      </c>
    </row>
    <row customHeight="1" ht="11.25">
      <c r="A410" s="0">
        <v>410</v>
      </c>
      <c r="B410" s="0" t="s">
        <v>3679</v>
      </c>
      <c r="C410" s="0" t="s">
        <v>3679</v>
      </c>
      <c r="D410" s="0" t="s">
        <v>3691</v>
      </c>
    </row>
    <row customHeight="1" ht="11.25">
      <c r="A411" s="0">
        <v>411</v>
      </c>
      <c r="B411" s="0" t="s">
        <v>3679</v>
      </c>
      <c r="C411" s="0" t="s">
        <v>3692</v>
      </c>
      <c r="D411" s="0" t="s">
        <v>3693</v>
      </c>
    </row>
    <row customHeight="1" ht="11.25">
      <c r="A412" s="0">
        <v>412</v>
      </c>
      <c r="B412" s="0" t="s">
        <v>3679</v>
      </c>
      <c r="C412" s="0" t="s">
        <v>3694</v>
      </c>
      <c r="D412" s="0" t="s">
        <v>3695</v>
      </c>
    </row>
    <row customHeight="1" ht="11.25">
      <c r="A413" s="0">
        <v>413</v>
      </c>
      <c r="B413" s="0" t="s">
        <v>3696</v>
      </c>
      <c r="C413" s="0" t="s">
        <v>3697</v>
      </c>
      <c r="D413" s="0" t="s">
        <v>3698</v>
      </c>
    </row>
    <row customHeight="1" ht="11.25">
      <c r="A414" s="0">
        <v>414</v>
      </c>
      <c r="B414" s="0" t="s">
        <v>3696</v>
      </c>
      <c r="C414" s="0" t="s">
        <v>3699</v>
      </c>
      <c r="D414" s="0" t="s">
        <v>3700</v>
      </c>
    </row>
    <row customHeight="1" ht="11.25">
      <c r="A415" s="0">
        <v>415</v>
      </c>
      <c r="B415" s="0" t="s">
        <v>3696</v>
      </c>
      <c r="C415" s="0" t="s">
        <v>3701</v>
      </c>
      <c r="D415" s="0" t="s">
        <v>3702</v>
      </c>
    </row>
    <row customHeight="1" ht="11.25">
      <c r="A416" s="0">
        <v>416</v>
      </c>
      <c r="B416" s="0" t="s">
        <v>3696</v>
      </c>
      <c r="C416" s="0" t="s">
        <v>3703</v>
      </c>
      <c r="D416" s="0" t="s">
        <v>3704</v>
      </c>
    </row>
    <row customHeight="1" ht="11.25">
      <c r="A417" s="0">
        <v>417</v>
      </c>
      <c r="B417" s="0" t="s">
        <v>3696</v>
      </c>
      <c r="C417" s="0" t="s">
        <v>3705</v>
      </c>
      <c r="D417" s="0" t="s">
        <v>3706</v>
      </c>
    </row>
    <row customHeight="1" ht="11.25">
      <c r="A418" s="0">
        <v>418</v>
      </c>
      <c r="B418" s="0" t="s">
        <v>3696</v>
      </c>
      <c r="C418" s="0" t="s">
        <v>3707</v>
      </c>
      <c r="D418" s="0" t="s">
        <v>3708</v>
      </c>
    </row>
    <row customHeight="1" ht="11.25">
      <c r="A419" s="0">
        <v>419</v>
      </c>
      <c r="B419" s="0" t="s">
        <v>3696</v>
      </c>
      <c r="C419" s="0" t="s">
        <v>3528</v>
      </c>
      <c r="D419" s="0" t="s">
        <v>3709</v>
      </c>
    </row>
    <row customHeight="1" ht="11.25">
      <c r="A420" s="0">
        <v>420</v>
      </c>
      <c r="B420" s="0" t="s">
        <v>3696</v>
      </c>
      <c r="C420" s="0" t="s">
        <v>3027</v>
      </c>
      <c r="D420" s="0" t="s">
        <v>3710</v>
      </c>
    </row>
    <row customHeight="1" ht="11.25">
      <c r="A421" s="0">
        <v>421</v>
      </c>
      <c r="B421" s="0" t="s">
        <v>3696</v>
      </c>
      <c r="C421" s="0" t="s">
        <v>3711</v>
      </c>
      <c r="D421" s="0" t="s">
        <v>3712</v>
      </c>
    </row>
    <row customHeight="1" ht="11.25">
      <c r="A422" s="0">
        <v>422</v>
      </c>
      <c r="B422" s="0" t="s">
        <v>3696</v>
      </c>
      <c r="C422" s="0" t="s">
        <v>3713</v>
      </c>
      <c r="D422" s="0" t="s">
        <v>3714</v>
      </c>
    </row>
    <row customHeight="1" ht="11.25">
      <c r="A423" s="0">
        <v>423</v>
      </c>
      <c r="B423" s="0" t="s">
        <v>3696</v>
      </c>
      <c r="C423" s="0" t="s">
        <v>3696</v>
      </c>
      <c r="D423" s="0" t="s">
        <v>3715</v>
      </c>
    </row>
    <row customHeight="1" ht="11.25">
      <c r="A424" s="0">
        <v>424</v>
      </c>
      <c r="B424" s="0" t="s">
        <v>3696</v>
      </c>
      <c r="C424" s="0" t="s">
        <v>3716</v>
      </c>
      <c r="D424" s="0" t="s">
        <v>3717</v>
      </c>
    </row>
    <row customHeight="1" ht="11.25">
      <c r="A425" s="0">
        <v>425</v>
      </c>
      <c r="B425" s="0" t="s">
        <v>3718</v>
      </c>
      <c r="C425" s="0" t="s">
        <v>2950</v>
      </c>
      <c r="D425" s="0" t="s">
        <v>3719</v>
      </c>
    </row>
    <row customHeight="1" ht="11.25">
      <c r="A426" s="0">
        <v>426</v>
      </c>
      <c r="B426" s="0" t="s">
        <v>3718</v>
      </c>
      <c r="C426" s="0" t="s">
        <v>3720</v>
      </c>
      <c r="D426" s="0" t="s">
        <v>3721</v>
      </c>
    </row>
    <row customHeight="1" ht="11.25">
      <c r="A427" s="0">
        <v>427</v>
      </c>
      <c r="B427" s="0" t="s">
        <v>3718</v>
      </c>
      <c r="C427" s="0" t="s">
        <v>3722</v>
      </c>
      <c r="D427" s="0" t="s">
        <v>3723</v>
      </c>
    </row>
    <row customHeight="1" ht="11.25">
      <c r="A428" s="0">
        <v>428</v>
      </c>
      <c r="B428" s="0" t="s">
        <v>3718</v>
      </c>
      <c r="C428" s="0" t="s">
        <v>3724</v>
      </c>
      <c r="D428" s="0" t="s">
        <v>3725</v>
      </c>
    </row>
    <row customHeight="1" ht="11.25">
      <c r="A429" s="0">
        <v>429</v>
      </c>
      <c r="B429" s="0" t="s">
        <v>3718</v>
      </c>
      <c r="C429" s="0" t="s">
        <v>3726</v>
      </c>
      <c r="D429" s="0" t="s">
        <v>3727</v>
      </c>
    </row>
    <row customHeight="1" ht="11.25">
      <c r="A430" s="0">
        <v>430</v>
      </c>
      <c r="B430" s="0" t="s">
        <v>3718</v>
      </c>
      <c r="C430" s="0" t="s">
        <v>3728</v>
      </c>
      <c r="D430" s="0" t="s">
        <v>3729</v>
      </c>
    </row>
    <row customHeight="1" ht="11.25">
      <c r="A431" s="0">
        <v>431</v>
      </c>
      <c r="B431" s="0" t="s">
        <v>3718</v>
      </c>
      <c r="C431" s="0" t="s">
        <v>3730</v>
      </c>
      <c r="D431" s="0" t="s">
        <v>3731</v>
      </c>
    </row>
    <row customHeight="1" ht="11.25">
      <c r="A432" s="0">
        <v>432</v>
      </c>
      <c r="B432" s="0" t="s">
        <v>3718</v>
      </c>
      <c r="C432" s="0" t="s">
        <v>3732</v>
      </c>
      <c r="D432" s="0" t="s">
        <v>3733</v>
      </c>
    </row>
    <row customHeight="1" ht="11.25">
      <c r="A433" s="0">
        <v>433</v>
      </c>
      <c r="B433" s="0" t="s">
        <v>3718</v>
      </c>
      <c r="C433" s="0" t="s">
        <v>3734</v>
      </c>
      <c r="D433" s="0" t="s">
        <v>3735</v>
      </c>
    </row>
    <row customHeight="1" ht="11.25">
      <c r="A434" s="0">
        <v>434</v>
      </c>
      <c r="B434" s="0" t="s">
        <v>3718</v>
      </c>
      <c r="C434" s="0" t="s">
        <v>3718</v>
      </c>
      <c r="D434" s="0" t="s">
        <v>3736</v>
      </c>
    </row>
    <row customHeight="1" ht="11.25">
      <c r="A435" s="0">
        <v>435</v>
      </c>
      <c r="B435" s="0" t="s">
        <v>3718</v>
      </c>
      <c r="C435" s="0" t="s">
        <v>3737</v>
      </c>
      <c r="D435" s="0" t="s">
        <v>3738</v>
      </c>
    </row>
    <row customHeight="1" ht="11.25">
      <c r="A436" s="0">
        <v>436</v>
      </c>
      <c r="B436" s="0" t="s">
        <v>3718</v>
      </c>
      <c r="C436" s="0" t="s">
        <v>3739</v>
      </c>
      <c r="D436" s="0" t="s">
        <v>3740</v>
      </c>
    </row>
    <row customHeight="1" ht="11.25">
      <c r="A437" s="0">
        <v>437</v>
      </c>
      <c r="B437" s="0" t="s">
        <v>3718</v>
      </c>
      <c r="C437" s="0" t="s">
        <v>3741</v>
      </c>
      <c r="D437" s="0" t="s">
        <v>3742</v>
      </c>
    </row>
    <row customHeight="1" ht="11.25">
      <c r="A438" s="0">
        <v>438</v>
      </c>
      <c r="B438" s="0" t="s">
        <v>3718</v>
      </c>
      <c r="C438" s="0" t="s">
        <v>3743</v>
      </c>
      <c r="D438" s="0" t="s">
        <v>3744</v>
      </c>
    </row>
    <row customHeight="1" ht="11.25">
      <c r="A439" s="0">
        <v>439</v>
      </c>
      <c r="B439" s="0" t="s">
        <v>3745</v>
      </c>
      <c r="C439" s="0" t="s">
        <v>3746</v>
      </c>
      <c r="D439" s="0" t="s">
        <v>3747</v>
      </c>
    </row>
    <row customHeight="1" ht="11.25">
      <c r="A440" s="0">
        <v>440</v>
      </c>
      <c r="B440" s="0" t="s">
        <v>3745</v>
      </c>
      <c r="C440" s="0" t="s">
        <v>3748</v>
      </c>
      <c r="D440" s="0" t="s">
        <v>3749</v>
      </c>
    </row>
    <row customHeight="1" ht="11.25">
      <c r="A441" s="0">
        <v>441</v>
      </c>
      <c r="B441" s="0" t="s">
        <v>3745</v>
      </c>
      <c r="C441" s="0" t="s">
        <v>3750</v>
      </c>
      <c r="D441" s="0" t="s">
        <v>3751</v>
      </c>
    </row>
    <row customHeight="1" ht="11.25">
      <c r="A442" s="0">
        <v>442</v>
      </c>
      <c r="B442" s="0" t="s">
        <v>3745</v>
      </c>
      <c r="C442" s="0" t="s">
        <v>3752</v>
      </c>
      <c r="D442" s="0" t="s">
        <v>3753</v>
      </c>
    </row>
    <row customHeight="1" ht="11.25">
      <c r="A443" s="0">
        <v>443</v>
      </c>
      <c r="B443" s="0" t="s">
        <v>3745</v>
      </c>
      <c r="C443" s="0" t="s">
        <v>3329</v>
      </c>
      <c r="D443" s="0" t="s">
        <v>3754</v>
      </c>
    </row>
    <row customHeight="1" ht="11.25">
      <c r="A444" s="0">
        <v>444</v>
      </c>
      <c r="B444" s="0" t="s">
        <v>3745</v>
      </c>
      <c r="C444" s="0" t="s">
        <v>3755</v>
      </c>
      <c r="D444" s="0" t="s">
        <v>3756</v>
      </c>
    </row>
    <row customHeight="1" ht="11.25">
      <c r="A445" s="0">
        <v>445</v>
      </c>
      <c r="B445" s="0" t="s">
        <v>3745</v>
      </c>
      <c r="C445" s="0" t="s">
        <v>3745</v>
      </c>
      <c r="D445" s="0" t="s">
        <v>3757</v>
      </c>
    </row>
    <row customHeight="1" ht="11.25">
      <c r="A446" s="0">
        <v>446</v>
      </c>
      <c r="B446" s="0" t="s">
        <v>3745</v>
      </c>
      <c r="C446" s="0" t="s">
        <v>3758</v>
      </c>
      <c r="D446" s="0" t="s">
        <v>3759</v>
      </c>
    </row>
    <row customHeight="1" ht="11.25">
      <c r="A447" s="0">
        <v>447</v>
      </c>
      <c r="B447" s="0" t="s">
        <v>3745</v>
      </c>
      <c r="C447" s="0" t="s">
        <v>3760</v>
      </c>
      <c r="D447" s="0" t="s">
        <v>3761</v>
      </c>
    </row>
    <row customHeight="1" ht="11.25">
      <c r="A448" s="0">
        <v>448</v>
      </c>
      <c r="B448" s="0" t="s">
        <v>3745</v>
      </c>
      <c r="C448" s="0" t="s">
        <v>3762</v>
      </c>
      <c r="D448" s="0" t="s">
        <v>3763</v>
      </c>
    </row>
    <row customHeight="1" ht="11.25">
      <c r="A449" s="0">
        <v>449</v>
      </c>
      <c r="B449" s="0" t="s">
        <v>3745</v>
      </c>
      <c r="C449" s="0" t="s">
        <v>3764</v>
      </c>
      <c r="D449" s="0" t="s">
        <v>3765</v>
      </c>
    </row>
    <row customHeight="1" ht="11.25">
      <c r="A450" s="0">
        <v>450</v>
      </c>
      <c r="B450" s="0" t="s">
        <v>3745</v>
      </c>
      <c r="C450" s="0" t="s">
        <v>3766</v>
      </c>
      <c r="D450" s="0" t="s">
        <v>3767</v>
      </c>
    </row>
    <row customHeight="1" ht="11.25">
      <c r="A451" s="0">
        <v>451</v>
      </c>
      <c r="B451" s="0" t="s">
        <v>3745</v>
      </c>
      <c r="C451" s="0" t="s">
        <v>3768</v>
      </c>
      <c r="D451" s="0" t="s">
        <v>3769</v>
      </c>
    </row>
    <row customHeight="1" ht="11.25">
      <c r="A452" s="0">
        <v>452</v>
      </c>
      <c r="B452" s="0" t="s">
        <v>3770</v>
      </c>
      <c r="C452" s="0" t="s">
        <v>3771</v>
      </c>
      <c r="D452" s="0" t="s">
        <v>3772</v>
      </c>
    </row>
    <row customHeight="1" ht="11.25">
      <c r="A453" s="0">
        <v>453</v>
      </c>
      <c r="B453" s="0" t="s">
        <v>3770</v>
      </c>
      <c r="C453" s="0" t="s">
        <v>3773</v>
      </c>
      <c r="D453" s="0" t="s">
        <v>3774</v>
      </c>
    </row>
    <row customHeight="1" ht="11.25">
      <c r="A454" s="0">
        <v>454</v>
      </c>
      <c r="B454" s="0" t="s">
        <v>3770</v>
      </c>
      <c r="C454" s="0" t="s">
        <v>3775</v>
      </c>
      <c r="D454" s="0" t="s">
        <v>3776</v>
      </c>
    </row>
    <row customHeight="1" ht="11.25">
      <c r="A455" s="0">
        <v>455</v>
      </c>
      <c r="B455" s="0" t="s">
        <v>3770</v>
      </c>
      <c r="C455" s="0" t="s">
        <v>3777</v>
      </c>
      <c r="D455" s="0" t="s">
        <v>3778</v>
      </c>
    </row>
    <row customHeight="1" ht="11.25">
      <c r="A456" s="0">
        <v>456</v>
      </c>
      <c r="B456" s="0" t="s">
        <v>3770</v>
      </c>
      <c r="C456" s="0" t="s">
        <v>3779</v>
      </c>
      <c r="D456" s="0" t="s">
        <v>3780</v>
      </c>
    </row>
    <row customHeight="1" ht="11.25">
      <c r="A457" s="0">
        <v>457</v>
      </c>
      <c r="B457" s="0" t="s">
        <v>3770</v>
      </c>
      <c r="C457" s="0" t="s">
        <v>3442</v>
      </c>
      <c r="D457" s="0" t="s">
        <v>3781</v>
      </c>
    </row>
    <row customHeight="1" ht="11.25">
      <c r="A458" s="0">
        <v>458</v>
      </c>
      <c r="B458" s="0" t="s">
        <v>3770</v>
      </c>
      <c r="C458" s="0" t="s">
        <v>3782</v>
      </c>
      <c r="D458" s="0" t="s">
        <v>3783</v>
      </c>
    </row>
    <row customHeight="1" ht="11.25">
      <c r="A459" s="0">
        <v>459</v>
      </c>
      <c r="B459" s="0" t="s">
        <v>3770</v>
      </c>
      <c r="C459" s="0" t="s">
        <v>3784</v>
      </c>
      <c r="D459" s="0" t="s">
        <v>3785</v>
      </c>
    </row>
    <row customHeight="1" ht="11.25">
      <c r="A460" s="0">
        <v>460</v>
      </c>
      <c r="B460" s="0" t="s">
        <v>3770</v>
      </c>
      <c r="C460" s="0" t="s">
        <v>3786</v>
      </c>
      <c r="D460" s="0" t="s">
        <v>3787</v>
      </c>
    </row>
    <row customHeight="1" ht="11.25">
      <c r="A461" s="0">
        <v>461</v>
      </c>
      <c r="B461" s="0" t="s">
        <v>3770</v>
      </c>
      <c r="C461" s="0" t="s">
        <v>3770</v>
      </c>
      <c r="D461" s="0" t="s">
        <v>3788</v>
      </c>
    </row>
    <row customHeight="1" ht="11.25">
      <c r="A462" s="0">
        <v>462</v>
      </c>
      <c r="B462" s="0" t="s">
        <v>3770</v>
      </c>
      <c r="C462" s="0" t="s">
        <v>3639</v>
      </c>
      <c r="D462" s="0" t="s">
        <v>3789</v>
      </c>
    </row>
    <row customHeight="1" ht="11.25">
      <c r="A463" s="0">
        <v>463</v>
      </c>
      <c r="B463" s="0" t="s">
        <v>3770</v>
      </c>
      <c r="C463" s="0" t="s">
        <v>3790</v>
      </c>
      <c r="D463" s="0" t="s">
        <v>3791</v>
      </c>
    </row>
    <row customHeight="1" ht="11.25">
      <c r="A464" s="0">
        <v>464</v>
      </c>
      <c r="B464" s="0" t="s">
        <v>3770</v>
      </c>
      <c r="C464" s="0" t="s">
        <v>3792</v>
      </c>
      <c r="D464" s="0" t="s">
        <v>3793</v>
      </c>
    </row>
    <row customHeight="1" ht="11.25">
      <c r="A465" s="0">
        <v>465</v>
      </c>
      <c r="B465" s="0" t="s">
        <v>3794</v>
      </c>
      <c r="C465" s="0" t="s">
        <v>3795</v>
      </c>
      <c r="D465" s="0" t="s">
        <v>3796</v>
      </c>
    </row>
    <row customHeight="1" ht="11.25">
      <c r="A466" s="0">
        <v>466</v>
      </c>
      <c r="B466" s="0" t="s">
        <v>3794</v>
      </c>
      <c r="C466" s="0" t="s">
        <v>3797</v>
      </c>
      <c r="D466" s="0" t="s">
        <v>3798</v>
      </c>
    </row>
    <row customHeight="1" ht="11.25">
      <c r="A467" s="0">
        <v>467</v>
      </c>
      <c r="B467" s="0" t="s">
        <v>3794</v>
      </c>
      <c r="C467" s="0" t="s">
        <v>3799</v>
      </c>
      <c r="D467" s="0" t="s">
        <v>3800</v>
      </c>
    </row>
    <row customHeight="1" ht="11.25">
      <c r="A468" s="0">
        <v>468</v>
      </c>
      <c r="B468" s="0" t="s">
        <v>3794</v>
      </c>
      <c r="C468" s="0" t="s">
        <v>3801</v>
      </c>
      <c r="D468" s="0" t="s">
        <v>3802</v>
      </c>
    </row>
    <row customHeight="1" ht="11.25">
      <c r="A469" s="0">
        <v>469</v>
      </c>
      <c r="B469" s="0" t="s">
        <v>3794</v>
      </c>
      <c r="C469" s="0" t="s">
        <v>3803</v>
      </c>
      <c r="D469" s="0" t="s">
        <v>3804</v>
      </c>
    </row>
    <row customHeight="1" ht="11.25">
      <c r="A470" s="0">
        <v>470</v>
      </c>
      <c r="B470" s="0" t="s">
        <v>3794</v>
      </c>
      <c r="C470" s="0" t="s">
        <v>3805</v>
      </c>
      <c r="D470" s="0" t="s">
        <v>3806</v>
      </c>
    </row>
    <row customHeight="1" ht="11.25">
      <c r="A471" s="0">
        <v>471</v>
      </c>
      <c r="B471" s="0" t="s">
        <v>3794</v>
      </c>
      <c r="C471" s="0" t="s">
        <v>3807</v>
      </c>
      <c r="D471" s="0" t="s">
        <v>3808</v>
      </c>
    </row>
    <row customHeight="1" ht="11.25">
      <c r="A472" s="0">
        <v>472</v>
      </c>
      <c r="B472" s="0" t="s">
        <v>3794</v>
      </c>
      <c r="C472" s="0" t="s">
        <v>3809</v>
      </c>
      <c r="D472" s="0" t="s">
        <v>3810</v>
      </c>
    </row>
    <row customHeight="1" ht="11.25">
      <c r="A473" s="0">
        <v>473</v>
      </c>
      <c r="B473" s="0" t="s">
        <v>3794</v>
      </c>
      <c r="C473" s="0" t="s">
        <v>3811</v>
      </c>
      <c r="D473" s="0" t="s">
        <v>3812</v>
      </c>
    </row>
    <row customHeight="1" ht="11.25">
      <c r="A474" s="0">
        <v>474</v>
      </c>
      <c r="B474" s="0" t="s">
        <v>3794</v>
      </c>
      <c r="C474" s="0" t="s">
        <v>3813</v>
      </c>
      <c r="D474" s="0" t="s">
        <v>3814</v>
      </c>
    </row>
    <row customHeight="1" ht="11.25">
      <c r="A475" s="0">
        <v>475</v>
      </c>
      <c r="B475" s="0" t="s">
        <v>3794</v>
      </c>
      <c r="C475" s="0" t="s">
        <v>3815</v>
      </c>
      <c r="D475" s="0" t="s">
        <v>3816</v>
      </c>
    </row>
    <row customHeight="1" ht="11.25">
      <c r="A476" s="0">
        <v>476</v>
      </c>
      <c r="B476" s="0" t="s">
        <v>3794</v>
      </c>
      <c r="C476" s="0" t="s">
        <v>3817</v>
      </c>
      <c r="D476" s="0" t="s">
        <v>3818</v>
      </c>
    </row>
    <row customHeight="1" ht="11.25">
      <c r="A477" s="0">
        <v>477</v>
      </c>
      <c r="B477" s="0" t="s">
        <v>3794</v>
      </c>
      <c r="C477" s="0" t="s">
        <v>3553</v>
      </c>
      <c r="D477" s="0" t="s">
        <v>3819</v>
      </c>
    </row>
    <row customHeight="1" ht="11.25">
      <c r="A478" s="0">
        <v>478</v>
      </c>
      <c r="B478" s="0" t="s">
        <v>3794</v>
      </c>
      <c r="C478" s="0" t="s">
        <v>3794</v>
      </c>
      <c r="D478" s="0" t="s">
        <v>3820</v>
      </c>
    </row>
    <row customHeight="1" ht="11.25">
      <c r="A479" s="0">
        <v>479</v>
      </c>
      <c r="B479" s="0" t="s">
        <v>3794</v>
      </c>
      <c r="C479" s="0" t="s">
        <v>3821</v>
      </c>
      <c r="D479" s="0" t="s">
        <v>3822</v>
      </c>
    </row>
    <row customHeight="1" ht="11.25">
      <c r="A480" s="0">
        <v>480</v>
      </c>
      <c r="B480" s="0" t="s">
        <v>3794</v>
      </c>
      <c r="C480" s="0" t="s">
        <v>3507</v>
      </c>
      <c r="D480" s="0" t="s">
        <v>3823</v>
      </c>
    </row>
    <row customHeight="1" ht="11.25">
      <c r="A481" s="0">
        <v>481</v>
      </c>
      <c r="B481" s="0" t="s">
        <v>3794</v>
      </c>
      <c r="C481" s="0" t="s">
        <v>3824</v>
      </c>
      <c r="D481" s="0" t="s">
        <v>3825</v>
      </c>
    </row>
    <row customHeight="1" ht="11.25">
      <c r="A482" s="0">
        <v>482</v>
      </c>
      <c r="B482" s="0" t="s">
        <v>3794</v>
      </c>
      <c r="C482" s="0" t="s">
        <v>3826</v>
      </c>
      <c r="D482" s="0" t="s">
        <v>3827</v>
      </c>
    </row>
    <row customHeight="1" ht="11.25">
      <c r="A483" s="0">
        <v>483</v>
      </c>
      <c r="B483" s="0" t="s">
        <v>3828</v>
      </c>
      <c r="C483" s="0" t="s">
        <v>3829</v>
      </c>
      <c r="D483" s="0" t="s">
        <v>3830</v>
      </c>
    </row>
    <row customHeight="1" ht="11.25">
      <c r="A484" s="0">
        <v>484</v>
      </c>
      <c r="B484" s="0" t="s">
        <v>3828</v>
      </c>
      <c r="C484" s="0" t="s">
        <v>3831</v>
      </c>
      <c r="D484" s="0" t="s">
        <v>3832</v>
      </c>
    </row>
    <row customHeight="1" ht="11.25">
      <c r="A485" s="0">
        <v>485</v>
      </c>
      <c r="B485" s="0" t="s">
        <v>3828</v>
      </c>
      <c r="C485" s="0" t="s">
        <v>2924</v>
      </c>
      <c r="D485" s="0" t="s">
        <v>3833</v>
      </c>
    </row>
    <row customHeight="1" ht="11.25">
      <c r="A486" s="0">
        <v>486</v>
      </c>
      <c r="B486" s="0" t="s">
        <v>3828</v>
      </c>
      <c r="C486" s="0" t="s">
        <v>3834</v>
      </c>
      <c r="D486" s="0" t="s">
        <v>3835</v>
      </c>
    </row>
    <row customHeight="1" ht="11.25">
      <c r="A487" s="0">
        <v>487</v>
      </c>
      <c r="B487" s="0" t="s">
        <v>3828</v>
      </c>
      <c r="C487" s="0" t="s">
        <v>3836</v>
      </c>
      <c r="D487" s="0" t="s">
        <v>3837</v>
      </c>
    </row>
    <row customHeight="1" ht="11.25">
      <c r="A488" s="0">
        <v>488</v>
      </c>
      <c r="B488" s="0" t="s">
        <v>3828</v>
      </c>
      <c r="C488" s="0" t="s">
        <v>3828</v>
      </c>
      <c r="D488" s="0" t="s">
        <v>3838</v>
      </c>
    </row>
    <row customHeight="1" ht="11.25">
      <c r="A489" s="0">
        <v>489</v>
      </c>
      <c r="B489" s="0" t="s">
        <v>3828</v>
      </c>
      <c r="C489" s="0" t="s">
        <v>3839</v>
      </c>
      <c r="D489" s="0" t="s">
        <v>3840</v>
      </c>
    </row>
    <row customHeight="1" ht="11.25">
      <c r="A490" s="0">
        <v>490</v>
      </c>
      <c r="B490" s="0" t="s">
        <v>3828</v>
      </c>
      <c r="C490" s="0" t="s">
        <v>3099</v>
      </c>
      <c r="D490" s="0" t="s">
        <v>3841</v>
      </c>
    </row>
    <row customHeight="1" ht="11.25">
      <c r="A491" s="0">
        <v>491</v>
      </c>
      <c r="B491" s="0" t="s">
        <v>3828</v>
      </c>
      <c r="C491" s="0" t="s">
        <v>3842</v>
      </c>
      <c r="D491" s="0" t="s">
        <v>3843</v>
      </c>
    </row>
    <row customHeight="1" ht="11.25">
      <c r="A492" s="0">
        <v>492</v>
      </c>
      <c r="B492" s="0" t="s">
        <v>3828</v>
      </c>
      <c r="C492" s="0" t="s">
        <v>3844</v>
      </c>
      <c r="D492" s="0" t="s">
        <v>3845</v>
      </c>
    </row>
    <row customHeight="1" ht="11.25">
      <c r="A493" s="0">
        <v>493</v>
      </c>
      <c r="B493" s="0" t="s">
        <v>3846</v>
      </c>
      <c r="C493" s="0" t="s">
        <v>3847</v>
      </c>
      <c r="D493" s="0" t="s">
        <v>3848</v>
      </c>
    </row>
    <row customHeight="1" ht="11.25">
      <c r="A494" s="0">
        <v>494</v>
      </c>
      <c r="B494" s="0" t="s">
        <v>3846</v>
      </c>
      <c r="C494" s="0" t="s">
        <v>3849</v>
      </c>
      <c r="D494" s="0" t="s">
        <v>3850</v>
      </c>
    </row>
    <row customHeight="1" ht="11.25">
      <c r="A495" s="0">
        <v>495</v>
      </c>
      <c r="B495" s="0" t="s">
        <v>3846</v>
      </c>
      <c r="C495" s="0" t="s">
        <v>3707</v>
      </c>
      <c r="D495" s="0" t="s">
        <v>3851</v>
      </c>
    </row>
    <row customHeight="1" ht="11.25">
      <c r="A496" s="0">
        <v>496</v>
      </c>
      <c r="B496" s="0" t="s">
        <v>3846</v>
      </c>
      <c r="C496" s="0" t="s">
        <v>3852</v>
      </c>
      <c r="D496" s="0" t="s">
        <v>3853</v>
      </c>
    </row>
    <row customHeight="1" ht="11.25">
      <c r="A497" s="0">
        <v>497</v>
      </c>
      <c r="B497" s="0" t="s">
        <v>3846</v>
      </c>
      <c r="C497" s="0" t="s">
        <v>3854</v>
      </c>
      <c r="D497" s="0" t="s">
        <v>3855</v>
      </c>
    </row>
    <row customHeight="1" ht="11.25">
      <c r="A498" s="0">
        <v>498</v>
      </c>
      <c r="B498" s="0" t="s">
        <v>3846</v>
      </c>
      <c r="C498" s="0" t="s">
        <v>3856</v>
      </c>
      <c r="D498" s="0" t="s">
        <v>3857</v>
      </c>
    </row>
    <row customHeight="1" ht="11.25">
      <c r="A499" s="0">
        <v>499</v>
      </c>
      <c r="B499" s="0" t="s">
        <v>3846</v>
      </c>
      <c r="C499" s="0" t="s">
        <v>3858</v>
      </c>
      <c r="D499" s="0" t="s">
        <v>3859</v>
      </c>
    </row>
    <row customHeight="1" ht="11.25">
      <c r="A500" s="0">
        <v>500</v>
      </c>
      <c r="B500" s="0" t="s">
        <v>3846</v>
      </c>
      <c r="C500" s="0" t="s">
        <v>3846</v>
      </c>
      <c r="D500" s="0" t="s">
        <v>3860</v>
      </c>
    </row>
    <row customHeight="1" ht="11.25">
      <c r="A501" s="0">
        <v>501</v>
      </c>
      <c r="B501" s="0" t="s">
        <v>3846</v>
      </c>
      <c r="C501" s="0" t="s">
        <v>3861</v>
      </c>
      <c r="D501" s="0" t="s">
        <v>3862</v>
      </c>
    </row>
    <row customHeight="1" ht="11.25">
      <c r="A502" s="0">
        <v>502</v>
      </c>
      <c r="B502" s="0" t="s">
        <v>3846</v>
      </c>
      <c r="C502" s="0" t="s">
        <v>3863</v>
      </c>
      <c r="D502" s="0" t="s">
        <v>3864</v>
      </c>
    </row>
    <row customHeight="1" ht="11.25">
      <c r="A503" s="0">
        <v>503</v>
      </c>
      <c r="B503" s="0" t="s">
        <v>3846</v>
      </c>
      <c r="C503" s="0" t="s">
        <v>3865</v>
      </c>
      <c r="D503" s="0" t="s">
        <v>3866</v>
      </c>
    </row>
    <row customHeight="1" ht="11.25">
      <c r="A504" s="0">
        <v>504</v>
      </c>
      <c r="B504" s="0" t="s">
        <v>3846</v>
      </c>
      <c r="C504" s="0" t="s">
        <v>3867</v>
      </c>
      <c r="D504" s="0" t="s">
        <v>3868</v>
      </c>
    </row>
    <row customHeight="1" ht="11.25">
      <c r="A505" s="0">
        <v>505</v>
      </c>
      <c r="B505" s="0" t="s">
        <v>3846</v>
      </c>
      <c r="C505" s="0" t="s">
        <v>3869</v>
      </c>
      <c r="D505" s="0" t="s">
        <v>3870</v>
      </c>
    </row>
    <row customHeight="1" ht="11.25">
      <c r="A506" s="0">
        <v>506</v>
      </c>
      <c r="B506" s="0" t="s">
        <v>3871</v>
      </c>
      <c r="C506" s="0" t="s">
        <v>3080</v>
      </c>
      <c r="D506" s="0" t="s">
        <v>3872</v>
      </c>
    </row>
    <row customHeight="1" ht="11.25">
      <c r="A507" s="0">
        <v>507</v>
      </c>
      <c r="B507" s="0" t="s">
        <v>3871</v>
      </c>
      <c r="C507" s="0" t="s">
        <v>3378</v>
      </c>
      <c r="D507" s="0" t="s">
        <v>3873</v>
      </c>
    </row>
    <row customHeight="1" ht="11.25">
      <c r="A508" s="0">
        <v>508</v>
      </c>
      <c r="B508" s="0" t="s">
        <v>3871</v>
      </c>
      <c r="C508" s="0" t="s">
        <v>3874</v>
      </c>
      <c r="D508" s="0" t="s">
        <v>3875</v>
      </c>
    </row>
    <row customHeight="1" ht="11.25">
      <c r="A509" s="0">
        <v>509</v>
      </c>
      <c r="B509" s="0" t="s">
        <v>3871</v>
      </c>
      <c r="C509" s="0" t="s">
        <v>3876</v>
      </c>
      <c r="D509" s="0" t="s">
        <v>3877</v>
      </c>
    </row>
    <row customHeight="1" ht="11.25">
      <c r="A510" s="0">
        <v>510</v>
      </c>
      <c r="B510" s="0" t="s">
        <v>3871</v>
      </c>
      <c r="C510" s="0" t="s">
        <v>3871</v>
      </c>
      <c r="D510" s="0" t="s">
        <v>3878</v>
      </c>
    </row>
    <row customHeight="1" ht="11.25">
      <c r="A511" s="0">
        <v>511</v>
      </c>
      <c r="B511" s="0" t="s">
        <v>3871</v>
      </c>
      <c r="C511" s="0" t="s">
        <v>3879</v>
      </c>
      <c r="D511" s="0" t="s">
        <v>3880</v>
      </c>
    </row>
    <row customHeight="1" ht="11.25">
      <c r="A512" s="0">
        <v>512</v>
      </c>
      <c r="B512" s="0" t="s">
        <v>3871</v>
      </c>
      <c r="C512" s="0" t="s">
        <v>3881</v>
      </c>
      <c r="D512" s="0" t="s">
        <v>3882</v>
      </c>
    </row>
    <row customHeight="1" ht="11.25">
      <c r="A513" s="0">
        <v>513</v>
      </c>
      <c r="B513" s="0" t="s">
        <v>3871</v>
      </c>
      <c r="C513" s="0" t="s">
        <v>3883</v>
      </c>
      <c r="D513" s="0" t="s">
        <v>3884</v>
      </c>
    </row>
    <row customHeight="1" ht="11.25">
      <c r="A514" s="0">
        <v>514</v>
      </c>
      <c r="B514" s="0" t="s">
        <v>3871</v>
      </c>
      <c r="C514" s="0" t="s">
        <v>3171</v>
      </c>
      <c r="D514" s="0" t="s">
        <v>3885</v>
      </c>
    </row>
    <row customHeight="1" ht="11.25">
      <c r="A515" s="0">
        <v>515</v>
      </c>
      <c r="B515" s="0" t="s">
        <v>3886</v>
      </c>
      <c r="C515" s="0" t="s">
        <v>3887</v>
      </c>
      <c r="D515" s="0" t="s">
        <v>3888</v>
      </c>
    </row>
    <row customHeight="1" ht="11.25">
      <c r="A516" s="0">
        <v>516</v>
      </c>
      <c r="B516" s="0" t="s">
        <v>3886</v>
      </c>
      <c r="C516" s="0" t="s">
        <v>2956</v>
      </c>
      <c r="D516" s="0" t="s">
        <v>3889</v>
      </c>
    </row>
    <row customHeight="1" ht="11.25">
      <c r="A517" s="0">
        <v>517</v>
      </c>
      <c r="B517" s="0" t="s">
        <v>3886</v>
      </c>
      <c r="C517" s="0" t="s">
        <v>3890</v>
      </c>
      <c r="D517" s="0" t="s">
        <v>3891</v>
      </c>
    </row>
    <row customHeight="1" ht="11.25">
      <c r="A518" s="0">
        <v>518</v>
      </c>
      <c r="B518" s="0" t="s">
        <v>3886</v>
      </c>
      <c r="C518" s="0" t="s">
        <v>3892</v>
      </c>
      <c r="D518" s="0" t="s">
        <v>3893</v>
      </c>
    </row>
    <row customHeight="1" ht="11.25">
      <c r="A519" s="0">
        <v>519</v>
      </c>
      <c r="B519" s="0" t="s">
        <v>3886</v>
      </c>
      <c r="C519" s="0" t="s">
        <v>3886</v>
      </c>
      <c r="D519" s="0" t="s">
        <v>3894</v>
      </c>
    </row>
    <row customHeight="1" ht="11.25">
      <c r="A520" s="0">
        <v>520</v>
      </c>
      <c r="B520" s="0" t="s">
        <v>3886</v>
      </c>
      <c r="C520" s="0" t="s">
        <v>3895</v>
      </c>
      <c r="D520" s="0" t="s">
        <v>3896</v>
      </c>
    </row>
    <row customHeight="1" ht="11.25">
      <c r="A521" s="0">
        <v>521</v>
      </c>
      <c r="B521" s="0" t="s">
        <v>3886</v>
      </c>
      <c r="C521" s="0" t="s">
        <v>3897</v>
      </c>
      <c r="D521" s="0" t="s">
        <v>3898</v>
      </c>
    </row>
    <row customHeight="1" ht="11.25">
      <c r="A522" s="0">
        <v>522</v>
      </c>
      <c r="B522" s="0" t="s">
        <v>3899</v>
      </c>
      <c r="C522" s="0" t="s">
        <v>3480</v>
      </c>
      <c r="D522" s="0" t="s">
        <v>3900</v>
      </c>
    </row>
    <row customHeight="1" ht="11.25">
      <c r="A523" s="0">
        <v>523</v>
      </c>
      <c r="B523" s="0" t="s">
        <v>3899</v>
      </c>
      <c r="C523" s="0" t="s">
        <v>3901</v>
      </c>
      <c r="D523" s="0" t="s">
        <v>3902</v>
      </c>
    </row>
    <row customHeight="1" ht="11.25">
      <c r="A524" s="0">
        <v>524</v>
      </c>
      <c r="B524" s="0" t="s">
        <v>3899</v>
      </c>
      <c r="C524" s="0" t="s">
        <v>3903</v>
      </c>
      <c r="D524" s="0" t="s">
        <v>3904</v>
      </c>
    </row>
    <row customHeight="1" ht="11.25">
      <c r="A525" s="0">
        <v>525</v>
      </c>
      <c r="B525" s="0" t="s">
        <v>3899</v>
      </c>
      <c r="C525" s="0" t="s">
        <v>3905</v>
      </c>
      <c r="D525" s="0" t="s">
        <v>3906</v>
      </c>
    </row>
    <row customHeight="1" ht="11.25">
      <c r="A526" s="0">
        <v>526</v>
      </c>
      <c r="B526" s="0" t="s">
        <v>3899</v>
      </c>
      <c r="C526" s="0" t="s">
        <v>3899</v>
      </c>
      <c r="D526" s="0" t="s">
        <v>3907</v>
      </c>
    </row>
    <row customHeight="1" ht="11.25">
      <c r="A527" s="0">
        <v>527</v>
      </c>
      <c r="B527" s="0" t="s">
        <v>3908</v>
      </c>
      <c r="C527" s="0" t="s">
        <v>2948</v>
      </c>
      <c r="D527" s="0" t="s">
        <v>3909</v>
      </c>
    </row>
    <row customHeight="1" ht="11.25">
      <c r="A528" s="0">
        <v>528</v>
      </c>
      <c r="B528" s="0" t="s">
        <v>3908</v>
      </c>
      <c r="C528" s="0" t="s">
        <v>3910</v>
      </c>
      <c r="D528" s="0" t="s">
        <v>3911</v>
      </c>
    </row>
    <row customHeight="1" ht="11.25">
      <c r="A529" s="0">
        <v>529</v>
      </c>
      <c r="B529" s="0" t="s">
        <v>3908</v>
      </c>
      <c r="C529" s="0" t="s">
        <v>3912</v>
      </c>
      <c r="D529" s="0" t="s">
        <v>3913</v>
      </c>
    </row>
    <row customHeight="1" ht="11.25">
      <c r="A530" s="0">
        <v>530</v>
      </c>
      <c r="B530" s="0" t="s">
        <v>3908</v>
      </c>
      <c r="C530" s="0" t="s">
        <v>3914</v>
      </c>
      <c r="D530" s="0" t="s">
        <v>3915</v>
      </c>
    </row>
    <row customHeight="1" ht="11.25">
      <c r="A531" s="0">
        <v>531</v>
      </c>
      <c r="B531" s="0" t="s">
        <v>3908</v>
      </c>
      <c r="C531" s="0" t="s">
        <v>3908</v>
      </c>
      <c r="D531" s="0" t="s">
        <v>3916</v>
      </c>
    </row>
    <row customHeight="1" ht="11.25">
      <c r="A532" s="0">
        <v>532</v>
      </c>
      <c r="B532" s="0" t="s">
        <v>3908</v>
      </c>
      <c r="C532" s="0" t="s">
        <v>3917</v>
      </c>
      <c r="D532" s="0" t="s">
        <v>3918</v>
      </c>
    </row>
    <row customHeight="1" ht="11.25">
      <c r="A533" s="0">
        <v>533</v>
      </c>
      <c r="B533" s="0" t="s">
        <v>3919</v>
      </c>
      <c r="C533" s="0" t="s">
        <v>3920</v>
      </c>
      <c r="D533" s="0" t="s">
        <v>3921</v>
      </c>
    </row>
    <row customHeight="1" ht="11.25">
      <c r="A534" s="0">
        <v>534</v>
      </c>
      <c r="B534" s="0" t="s">
        <v>3919</v>
      </c>
      <c r="C534" s="0" t="s">
        <v>3922</v>
      </c>
      <c r="D534" s="0" t="s">
        <v>3923</v>
      </c>
    </row>
    <row customHeight="1" ht="11.25">
      <c r="A535" s="0">
        <v>535</v>
      </c>
      <c r="B535" s="0" t="s">
        <v>3919</v>
      </c>
      <c r="C535" s="0" t="s">
        <v>3442</v>
      </c>
      <c r="D535" s="0" t="s">
        <v>3924</v>
      </c>
    </row>
    <row customHeight="1" ht="11.25">
      <c r="A536" s="0">
        <v>536</v>
      </c>
      <c r="B536" s="0" t="s">
        <v>3919</v>
      </c>
      <c r="C536" s="0" t="s">
        <v>3925</v>
      </c>
      <c r="D536" s="0" t="s">
        <v>3926</v>
      </c>
    </row>
    <row customHeight="1" ht="11.25">
      <c r="A537" s="0">
        <v>537</v>
      </c>
      <c r="B537" s="0" t="s">
        <v>3919</v>
      </c>
      <c r="C537" s="0" t="s">
        <v>3927</v>
      </c>
      <c r="D537" s="0" t="s">
        <v>3928</v>
      </c>
    </row>
    <row customHeight="1" ht="11.25">
      <c r="A538" s="0">
        <v>538</v>
      </c>
      <c r="B538" s="0" t="s">
        <v>3919</v>
      </c>
      <c r="C538" s="0" t="s">
        <v>3929</v>
      </c>
      <c r="D538" s="0" t="s">
        <v>3930</v>
      </c>
    </row>
    <row customHeight="1" ht="11.25">
      <c r="A539" s="0">
        <v>539</v>
      </c>
      <c r="B539" s="0" t="s">
        <v>3919</v>
      </c>
      <c r="C539" s="0" t="s">
        <v>3247</v>
      </c>
      <c r="D539" s="0" t="s">
        <v>3931</v>
      </c>
    </row>
    <row customHeight="1" ht="11.25">
      <c r="A540" s="0">
        <v>540</v>
      </c>
      <c r="B540" s="0" t="s">
        <v>3919</v>
      </c>
      <c r="C540" s="0" t="s">
        <v>3932</v>
      </c>
      <c r="D540" s="0" t="s">
        <v>3933</v>
      </c>
    </row>
    <row customHeight="1" ht="11.25">
      <c r="A541" s="0">
        <v>541</v>
      </c>
      <c r="B541" s="0" t="s">
        <v>3919</v>
      </c>
      <c r="C541" s="0" t="s">
        <v>3934</v>
      </c>
      <c r="D541" s="0" t="s">
        <v>3935</v>
      </c>
    </row>
    <row customHeight="1" ht="11.25">
      <c r="A542" s="0">
        <v>542</v>
      </c>
      <c r="B542" s="0" t="s">
        <v>3919</v>
      </c>
      <c r="C542" s="0" t="s">
        <v>3936</v>
      </c>
      <c r="D542" s="0" t="s">
        <v>3937</v>
      </c>
    </row>
    <row customHeight="1" ht="11.25">
      <c r="A543" s="0">
        <v>543</v>
      </c>
      <c r="B543" s="0" t="s">
        <v>3919</v>
      </c>
      <c r="C543" s="0" t="s">
        <v>3938</v>
      </c>
      <c r="D543" s="0" t="s">
        <v>3939</v>
      </c>
    </row>
    <row customHeight="1" ht="11.25">
      <c r="A544" s="0">
        <v>544</v>
      </c>
      <c r="B544" s="0" t="s">
        <v>3919</v>
      </c>
      <c r="C544" s="0" t="s">
        <v>3940</v>
      </c>
      <c r="D544" s="0" t="s">
        <v>3941</v>
      </c>
    </row>
    <row customHeight="1" ht="11.25">
      <c r="A545" s="0">
        <v>545</v>
      </c>
      <c r="B545" s="0" t="s">
        <v>3919</v>
      </c>
      <c r="C545" s="0" t="s">
        <v>3942</v>
      </c>
      <c r="D545" s="0" t="s">
        <v>3943</v>
      </c>
    </row>
    <row customHeight="1" ht="11.25">
      <c r="A546" s="0">
        <v>546</v>
      </c>
      <c r="B546" s="0" t="s">
        <v>3919</v>
      </c>
      <c r="C546" s="0" t="s">
        <v>3944</v>
      </c>
      <c r="D546" s="0" t="s">
        <v>3945</v>
      </c>
    </row>
    <row customHeight="1" ht="11.25">
      <c r="A547" s="0">
        <v>547</v>
      </c>
      <c r="B547" s="0" t="s">
        <v>3919</v>
      </c>
      <c r="C547" s="0" t="s">
        <v>3946</v>
      </c>
      <c r="D547" s="0" t="s">
        <v>3947</v>
      </c>
    </row>
    <row customHeight="1" ht="11.25">
      <c r="A548" s="0">
        <v>548</v>
      </c>
      <c r="B548" s="0" t="s">
        <v>3919</v>
      </c>
      <c r="C548" s="0" t="s">
        <v>3919</v>
      </c>
      <c r="D548" s="0" t="s">
        <v>3948</v>
      </c>
    </row>
    <row customHeight="1" ht="11.25">
      <c r="A549" s="0">
        <v>549</v>
      </c>
      <c r="B549" s="0" t="s">
        <v>3919</v>
      </c>
      <c r="C549" s="0" t="s">
        <v>3949</v>
      </c>
      <c r="D549" s="0" t="s">
        <v>3950</v>
      </c>
    </row>
    <row customHeight="1" ht="11.25">
      <c r="A550" s="0">
        <v>550</v>
      </c>
      <c r="B550" s="0" t="s">
        <v>3919</v>
      </c>
      <c r="C550" s="0" t="s">
        <v>3951</v>
      </c>
      <c r="D550" s="0" t="s">
        <v>3952</v>
      </c>
    </row>
    <row customHeight="1" ht="11.25">
      <c r="A551" s="0">
        <v>551</v>
      </c>
      <c r="B551" s="0" t="s">
        <v>3919</v>
      </c>
      <c r="C551" s="0" t="s">
        <v>3953</v>
      </c>
      <c r="D551" s="0" t="s">
        <v>3954</v>
      </c>
    </row>
    <row customHeight="1" ht="11.25">
      <c r="A552" s="0">
        <v>552</v>
      </c>
      <c r="B552" s="0" t="s">
        <v>3955</v>
      </c>
      <c r="C552" s="0" t="s">
        <v>3956</v>
      </c>
      <c r="D552" s="0" t="s">
        <v>3957</v>
      </c>
    </row>
    <row customHeight="1" ht="11.25">
      <c r="A553" s="0">
        <v>553</v>
      </c>
      <c r="B553" s="0" t="s">
        <v>3955</v>
      </c>
      <c r="C553" s="0" t="s">
        <v>3958</v>
      </c>
      <c r="D553" s="0" t="s">
        <v>3959</v>
      </c>
    </row>
    <row customHeight="1" ht="11.25">
      <c r="A554" s="0">
        <v>554</v>
      </c>
      <c r="B554" s="0" t="s">
        <v>3955</v>
      </c>
      <c r="C554" s="0" t="s">
        <v>3960</v>
      </c>
      <c r="D554" s="0" t="s">
        <v>3961</v>
      </c>
    </row>
    <row customHeight="1" ht="11.25">
      <c r="A555" s="0">
        <v>555</v>
      </c>
      <c r="B555" s="0" t="s">
        <v>3955</v>
      </c>
      <c r="C555" s="0" t="s">
        <v>3955</v>
      </c>
      <c r="D555" s="0" t="s">
        <v>3962</v>
      </c>
    </row>
    <row customHeight="1" ht="11.25">
      <c r="A556" s="0">
        <v>556</v>
      </c>
      <c r="B556" s="0" t="s">
        <v>3955</v>
      </c>
      <c r="C556" s="0" t="s">
        <v>3963</v>
      </c>
      <c r="D556" s="0" t="s">
        <v>3964</v>
      </c>
    </row>
    <row customHeight="1" ht="11.25">
      <c r="A557" s="0">
        <v>557</v>
      </c>
      <c r="B557" s="0" t="s">
        <v>3955</v>
      </c>
      <c r="C557" s="0" t="s">
        <v>3965</v>
      </c>
      <c r="D557" s="0" t="s">
        <v>3966</v>
      </c>
    </row>
    <row customHeight="1" ht="11.25">
      <c r="A558" s="0">
        <v>558</v>
      </c>
      <c r="B558" s="0" t="s">
        <v>3967</v>
      </c>
      <c r="C558" s="0" t="s">
        <v>3968</v>
      </c>
      <c r="D558" s="0" t="s">
        <v>3969</v>
      </c>
    </row>
    <row customHeight="1" ht="11.25">
      <c r="A559" s="0">
        <v>559</v>
      </c>
      <c r="B559" s="0" t="s">
        <v>3967</v>
      </c>
      <c r="C559" s="0" t="s">
        <v>3970</v>
      </c>
      <c r="D559" s="0" t="s">
        <v>3971</v>
      </c>
    </row>
    <row customHeight="1" ht="11.25">
      <c r="A560" s="0">
        <v>560</v>
      </c>
      <c r="B560" s="0" t="s">
        <v>3967</v>
      </c>
      <c r="C560" s="0" t="s">
        <v>3726</v>
      </c>
      <c r="D560" s="0" t="s">
        <v>3972</v>
      </c>
    </row>
    <row customHeight="1" ht="11.25">
      <c r="A561" s="0">
        <v>561</v>
      </c>
      <c r="B561" s="0" t="s">
        <v>3967</v>
      </c>
      <c r="C561" s="0" t="s">
        <v>2924</v>
      </c>
      <c r="D561" s="0" t="s">
        <v>3973</v>
      </c>
    </row>
    <row customHeight="1" ht="11.25">
      <c r="A562" s="0">
        <v>562</v>
      </c>
      <c r="B562" s="0" t="s">
        <v>3967</v>
      </c>
      <c r="C562" s="0" t="s">
        <v>3321</v>
      </c>
      <c r="D562" s="0" t="s">
        <v>3974</v>
      </c>
    </row>
    <row customHeight="1" ht="11.25">
      <c r="A563" s="0">
        <v>563</v>
      </c>
      <c r="B563" s="0" t="s">
        <v>3967</v>
      </c>
      <c r="C563" s="0" t="s">
        <v>3707</v>
      </c>
      <c r="D563" s="0" t="s">
        <v>3975</v>
      </c>
    </row>
    <row customHeight="1" ht="11.25">
      <c r="A564" s="0">
        <v>564</v>
      </c>
      <c r="B564" s="0" t="s">
        <v>3967</v>
      </c>
      <c r="C564" s="0" t="s">
        <v>2956</v>
      </c>
      <c r="D564" s="0" t="s">
        <v>3976</v>
      </c>
    </row>
    <row customHeight="1" ht="11.25">
      <c r="A565" s="0">
        <v>565</v>
      </c>
      <c r="B565" s="0" t="s">
        <v>3967</v>
      </c>
      <c r="C565" s="0" t="s">
        <v>3977</v>
      </c>
      <c r="D565" s="0" t="s">
        <v>3978</v>
      </c>
    </row>
    <row customHeight="1" ht="11.25">
      <c r="A566" s="0">
        <v>566</v>
      </c>
      <c r="B566" s="0" t="s">
        <v>3967</v>
      </c>
      <c r="C566" s="0" t="s">
        <v>3979</v>
      </c>
      <c r="D566" s="0" t="s">
        <v>3980</v>
      </c>
    </row>
    <row customHeight="1" ht="11.25">
      <c r="A567" s="0">
        <v>567</v>
      </c>
      <c r="B567" s="0" t="s">
        <v>3967</v>
      </c>
      <c r="C567" s="0" t="s">
        <v>3981</v>
      </c>
      <c r="D567" s="0" t="s">
        <v>3982</v>
      </c>
    </row>
    <row customHeight="1" ht="11.25">
      <c r="A568" s="0">
        <v>568</v>
      </c>
      <c r="B568" s="0" t="s">
        <v>3967</v>
      </c>
      <c r="C568" s="0" t="s">
        <v>3329</v>
      </c>
      <c r="D568" s="0" t="s">
        <v>3983</v>
      </c>
    </row>
    <row customHeight="1" ht="11.25">
      <c r="A569" s="0">
        <v>569</v>
      </c>
      <c r="B569" s="0" t="s">
        <v>3967</v>
      </c>
      <c r="C569" s="0" t="s">
        <v>3790</v>
      </c>
      <c r="D569" s="0" t="s">
        <v>3984</v>
      </c>
    </row>
    <row customHeight="1" ht="11.25">
      <c r="A570" s="0">
        <v>570</v>
      </c>
      <c r="B570" s="0" t="s">
        <v>3967</v>
      </c>
      <c r="C570" s="0" t="s">
        <v>3967</v>
      </c>
      <c r="D570" s="0" t="s">
        <v>3985</v>
      </c>
    </row>
    <row customHeight="1" ht="11.25">
      <c r="A571" s="0">
        <v>571</v>
      </c>
      <c r="B571" s="0" t="s">
        <v>3967</v>
      </c>
      <c r="C571" s="0" t="s">
        <v>3986</v>
      </c>
      <c r="D571" s="0" t="s">
        <v>3987</v>
      </c>
    </row>
    <row customHeight="1" ht="11.25">
      <c r="A572" s="0">
        <v>572</v>
      </c>
      <c r="B572" s="0" t="s">
        <v>3967</v>
      </c>
      <c r="C572" s="0" t="s">
        <v>3988</v>
      </c>
      <c r="D572" s="0" t="s">
        <v>3989</v>
      </c>
    </row>
    <row customHeight="1" ht="11.25">
      <c r="A573" s="0">
        <v>573</v>
      </c>
      <c r="B573" s="0" t="s">
        <v>3967</v>
      </c>
      <c r="C573" s="0" t="s">
        <v>3990</v>
      </c>
      <c r="D573" s="0" t="s">
        <v>3991</v>
      </c>
    </row>
    <row customHeight="1" ht="11.25">
      <c r="A574" s="0">
        <v>574</v>
      </c>
      <c r="B574" s="0" t="s">
        <v>3967</v>
      </c>
      <c r="C574" s="0" t="s">
        <v>3992</v>
      </c>
      <c r="D574" s="0" t="s">
        <v>3993</v>
      </c>
    </row>
    <row customHeight="1" ht="11.25">
      <c r="A575" s="0">
        <v>575</v>
      </c>
      <c r="B575" s="0" t="s">
        <v>3967</v>
      </c>
      <c r="C575" s="0" t="s">
        <v>3994</v>
      </c>
      <c r="D575" s="0" t="s">
        <v>3995</v>
      </c>
    </row>
    <row customHeight="1" ht="11.25">
      <c r="A576" s="0">
        <v>576</v>
      </c>
      <c r="B576" s="0" t="s">
        <v>3996</v>
      </c>
      <c r="C576" s="0" t="s">
        <v>3997</v>
      </c>
      <c r="D576" s="0" t="s">
        <v>3998</v>
      </c>
    </row>
    <row customHeight="1" ht="11.25">
      <c r="A577" s="0">
        <v>577</v>
      </c>
      <c r="B577" s="0" t="s">
        <v>3996</v>
      </c>
      <c r="C577" s="0" t="s">
        <v>3999</v>
      </c>
      <c r="D577" s="0" t="s">
        <v>4000</v>
      </c>
    </row>
    <row customHeight="1" ht="11.25">
      <c r="A578" s="0">
        <v>578</v>
      </c>
      <c r="B578" s="0" t="s">
        <v>3996</v>
      </c>
      <c r="C578" s="0" t="s">
        <v>4001</v>
      </c>
      <c r="D578" s="0" t="s">
        <v>4002</v>
      </c>
    </row>
    <row customHeight="1" ht="11.25">
      <c r="A579" s="0">
        <v>579</v>
      </c>
      <c r="B579" s="0" t="s">
        <v>3996</v>
      </c>
      <c r="C579" s="0" t="s">
        <v>4003</v>
      </c>
      <c r="D579" s="0" t="s">
        <v>4004</v>
      </c>
    </row>
    <row customHeight="1" ht="11.25">
      <c r="A580" s="0">
        <v>580</v>
      </c>
      <c r="B580" s="0" t="s">
        <v>3996</v>
      </c>
      <c r="C580" s="0" t="s">
        <v>4005</v>
      </c>
      <c r="D580" s="0" t="s">
        <v>4006</v>
      </c>
    </row>
    <row customHeight="1" ht="11.25">
      <c r="A581" s="0">
        <v>581</v>
      </c>
      <c r="B581" s="0" t="s">
        <v>3996</v>
      </c>
      <c r="C581" s="0" t="s">
        <v>4007</v>
      </c>
      <c r="D581" s="0" t="s">
        <v>4008</v>
      </c>
    </row>
    <row customHeight="1" ht="11.25">
      <c r="A582" s="0">
        <v>582</v>
      </c>
      <c r="B582" s="0" t="s">
        <v>3996</v>
      </c>
      <c r="C582" s="0" t="s">
        <v>4009</v>
      </c>
      <c r="D582" s="0" t="s">
        <v>4010</v>
      </c>
    </row>
    <row customHeight="1" ht="11.25">
      <c r="A583" s="0">
        <v>583</v>
      </c>
      <c r="B583" s="0" t="s">
        <v>3996</v>
      </c>
      <c r="C583" s="0" t="s">
        <v>3996</v>
      </c>
      <c r="D583" s="0" t="s">
        <v>4011</v>
      </c>
    </row>
    <row customHeight="1" ht="11.25">
      <c r="A584" s="0">
        <v>584</v>
      </c>
      <c r="B584" s="0" t="s">
        <v>3996</v>
      </c>
      <c r="C584" s="0" t="s">
        <v>4012</v>
      </c>
      <c r="D584" s="0" t="s">
        <v>4013</v>
      </c>
    </row>
    <row customHeight="1" ht="11.25">
      <c r="A585" s="0">
        <v>585</v>
      </c>
      <c r="B585" s="0" t="s">
        <v>3996</v>
      </c>
      <c r="C585" s="0" t="s">
        <v>4014</v>
      </c>
      <c r="D585" s="0" t="s">
        <v>4015</v>
      </c>
    </row>
    <row customHeight="1" ht="11.25">
      <c r="A586" s="0">
        <v>586</v>
      </c>
      <c r="B586" s="0" t="s">
        <v>4016</v>
      </c>
      <c r="C586" s="0" t="s">
        <v>2950</v>
      </c>
      <c r="D586" s="0" t="s">
        <v>4017</v>
      </c>
    </row>
    <row customHeight="1" ht="11.25">
      <c r="A587" s="0">
        <v>587</v>
      </c>
      <c r="B587" s="0" t="s">
        <v>4016</v>
      </c>
      <c r="C587" s="0" t="s">
        <v>3720</v>
      </c>
      <c r="D587" s="0" t="s">
        <v>4018</v>
      </c>
    </row>
    <row customHeight="1" ht="11.25">
      <c r="A588" s="0">
        <v>588</v>
      </c>
      <c r="B588" s="0" t="s">
        <v>4016</v>
      </c>
      <c r="C588" s="0" t="s">
        <v>4019</v>
      </c>
      <c r="D588" s="0" t="s">
        <v>4020</v>
      </c>
    </row>
    <row customHeight="1" ht="11.25">
      <c r="A589" s="0">
        <v>589</v>
      </c>
      <c r="B589" s="0" t="s">
        <v>4016</v>
      </c>
      <c r="C589" s="0" t="s">
        <v>4021</v>
      </c>
      <c r="D589" s="0" t="s">
        <v>4022</v>
      </c>
    </row>
    <row customHeight="1" ht="11.25">
      <c r="A590" s="0">
        <v>590</v>
      </c>
      <c r="B590" s="0" t="s">
        <v>4016</v>
      </c>
      <c r="C590" s="0" t="s">
        <v>4023</v>
      </c>
      <c r="D590" s="0" t="s">
        <v>4024</v>
      </c>
    </row>
    <row customHeight="1" ht="11.25">
      <c r="A591" s="0">
        <v>591</v>
      </c>
      <c r="B591" s="0" t="s">
        <v>4016</v>
      </c>
      <c r="C591" s="0" t="s">
        <v>3314</v>
      </c>
      <c r="D591" s="0" t="s">
        <v>4025</v>
      </c>
    </row>
    <row customHeight="1" ht="11.25">
      <c r="A592" s="0">
        <v>592</v>
      </c>
      <c r="B592" s="0" t="s">
        <v>4016</v>
      </c>
      <c r="C592" s="0" t="s">
        <v>4026</v>
      </c>
      <c r="D592" s="0" t="s">
        <v>4027</v>
      </c>
    </row>
    <row customHeight="1" ht="11.25">
      <c r="A593" s="0">
        <v>593</v>
      </c>
      <c r="B593" s="0" t="s">
        <v>4016</v>
      </c>
      <c r="C593" s="0" t="s">
        <v>4028</v>
      </c>
      <c r="D593" s="0" t="s">
        <v>4029</v>
      </c>
    </row>
    <row customHeight="1" ht="11.25">
      <c r="A594" s="0">
        <v>594</v>
      </c>
      <c r="B594" s="0" t="s">
        <v>4016</v>
      </c>
      <c r="C594" s="0" t="s">
        <v>4016</v>
      </c>
      <c r="D594" s="0" t="s">
        <v>4030</v>
      </c>
    </row>
    <row customHeight="1" ht="11.25">
      <c r="A595" s="0">
        <v>595</v>
      </c>
      <c r="B595" s="0" t="s">
        <v>4016</v>
      </c>
      <c r="C595" s="0" t="s">
        <v>4031</v>
      </c>
      <c r="D595" s="0" t="s">
        <v>4032</v>
      </c>
    </row>
    <row customHeight="1" ht="11.25">
      <c r="A596" s="0">
        <v>596</v>
      </c>
      <c r="B596" s="0" t="s">
        <v>4016</v>
      </c>
      <c r="C596" s="0" t="s">
        <v>4033</v>
      </c>
      <c r="D596" s="0" t="s">
        <v>4034</v>
      </c>
    </row>
    <row customHeight="1" ht="11.25">
      <c r="A597" s="0">
        <v>597</v>
      </c>
      <c r="B597" s="0" t="s">
        <v>4016</v>
      </c>
      <c r="C597" s="0" t="s">
        <v>4035</v>
      </c>
      <c r="D597" s="0" t="s">
        <v>4036</v>
      </c>
    </row>
    <row customHeight="1" ht="11.25">
      <c r="A598" s="0">
        <v>598</v>
      </c>
      <c r="B598" s="0" t="s">
        <v>4037</v>
      </c>
      <c r="C598" s="0" t="s">
        <v>4038</v>
      </c>
      <c r="D598" s="0" t="s">
        <v>4039</v>
      </c>
    </row>
    <row customHeight="1" ht="11.25">
      <c r="A599" s="0">
        <v>599</v>
      </c>
      <c r="B599" s="0" t="s">
        <v>4037</v>
      </c>
      <c r="C599" s="0" t="s">
        <v>3080</v>
      </c>
      <c r="D599" s="0" t="s">
        <v>4040</v>
      </c>
    </row>
    <row customHeight="1" ht="11.25">
      <c r="A600" s="0">
        <v>600</v>
      </c>
      <c r="B600" s="0" t="s">
        <v>4037</v>
      </c>
      <c r="C600" s="0" t="s">
        <v>4041</v>
      </c>
      <c r="D600" s="0" t="s">
        <v>4042</v>
      </c>
    </row>
    <row customHeight="1" ht="11.25">
      <c r="A601" s="0">
        <v>601</v>
      </c>
      <c r="B601" s="0" t="s">
        <v>4037</v>
      </c>
      <c r="C601" s="0" t="s">
        <v>4043</v>
      </c>
      <c r="D601" s="0" t="s">
        <v>4044</v>
      </c>
    </row>
    <row customHeight="1" ht="11.25">
      <c r="A602" s="0">
        <v>602</v>
      </c>
      <c r="B602" s="0" t="s">
        <v>4037</v>
      </c>
      <c r="C602" s="0" t="s">
        <v>4023</v>
      </c>
      <c r="D602" s="0" t="s">
        <v>4045</v>
      </c>
    </row>
    <row customHeight="1" ht="11.25">
      <c r="A603" s="0">
        <v>603</v>
      </c>
      <c r="B603" s="0" t="s">
        <v>4037</v>
      </c>
      <c r="C603" s="0" t="s">
        <v>4046</v>
      </c>
      <c r="D603" s="0" t="s">
        <v>4047</v>
      </c>
    </row>
    <row customHeight="1" ht="11.25">
      <c r="A604" s="0">
        <v>604</v>
      </c>
      <c r="B604" s="0" t="s">
        <v>4037</v>
      </c>
      <c r="C604" s="0" t="s">
        <v>4048</v>
      </c>
      <c r="D604" s="0" t="s">
        <v>4049</v>
      </c>
    </row>
    <row customHeight="1" ht="11.25">
      <c r="A605" s="0">
        <v>605</v>
      </c>
      <c r="B605" s="0" t="s">
        <v>4037</v>
      </c>
      <c r="C605" s="0" t="s">
        <v>4050</v>
      </c>
      <c r="D605" s="0" t="s">
        <v>4051</v>
      </c>
    </row>
    <row customHeight="1" ht="11.25">
      <c r="A606" s="0">
        <v>606</v>
      </c>
      <c r="B606" s="0" t="s">
        <v>4037</v>
      </c>
      <c r="C606" s="0" t="s">
        <v>4052</v>
      </c>
      <c r="D606" s="0" t="s">
        <v>4053</v>
      </c>
    </row>
    <row customHeight="1" ht="11.25">
      <c r="A607" s="0">
        <v>607</v>
      </c>
      <c r="B607" s="0" t="s">
        <v>4037</v>
      </c>
      <c r="C607" s="0" t="s">
        <v>4037</v>
      </c>
      <c r="D607" s="0" t="s">
        <v>4054</v>
      </c>
    </row>
    <row customHeight="1" ht="11.25">
      <c r="A608" s="0">
        <v>608</v>
      </c>
      <c r="B608" s="0" t="s">
        <v>4037</v>
      </c>
      <c r="C608" s="0" t="s">
        <v>4055</v>
      </c>
      <c r="D608" s="0" t="s">
        <v>4056</v>
      </c>
    </row>
    <row customHeight="1" ht="11.25">
      <c r="A609" s="0">
        <v>609</v>
      </c>
      <c r="B609" s="0" t="s">
        <v>4037</v>
      </c>
      <c r="C609" s="0" t="s">
        <v>4057</v>
      </c>
      <c r="D609" s="0" t="s">
        <v>4058</v>
      </c>
    </row>
    <row customHeight="1" ht="11.25">
      <c r="A610" s="0">
        <v>610</v>
      </c>
      <c r="B610" s="0" t="s">
        <v>4037</v>
      </c>
      <c r="C610" s="0" t="s">
        <v>3149</v>
      </c>
      <c r="D610" s="0" t="s">
        <v>4059</v>
      </c>
    </row>
    <row customHeight="1" ht="11.25">
      <c r="A611" s="0">
        <v>611</v>
      </c>
      <c r="B611" s="0" t="s">
        <v>4037</v>
      </c>
      <c r="C611" s="0" t="s">
        <v>4060</v>
      </c>
      <c r="D611" s="0" t="s">
        <v>4061</v>
      </c>
    </row>
    <row customHeight="1" ht="11.25">
      <c r="A612" s="0">
        <v>612</v>
      </c>
      <c r="B612" s="0" t="s">
        <v>4037</v>
      </c>
      <c r="C612" s="0" t="s">
        <v>4062</v>
      </c>
      <c r="D612" s="0" t="s">
        <v>4063</v>
      </c>
    </row>
    <row customHeight="1" ht="11.25">
      <c r="A613" s="0">
        <v>613</v>
      </c>
      <c r="B613" s="0" t="s">
        <v>4064</v>
      </c>
      <c r="C613" s="0" t="s">
        <v>4065</v>
      </c>
      <c r="D613" s="0" t="s">
        <v>4066</v>
      </c>
    </row>
    <row customHeight="1" ht="11.25">
      <c r="A614" s="0">
        <v>614</v>
      </c>
      <c r="B614" s="0" t="s">
        <v>4064</v>
      </c>
      <c r="C614" s="0" t="s">
        <v>4067</v>
      </c>
      <c r="D614" s="0" t="s">
        <v>4068</v>
      </c>
    </row>
    <row customHeight="1" ht="11.25">
      <c r="A615" s="0">
        <v>615</v>
      </c>
      <c r="B615" s="0" t="s">
        <v>4064</v>
      </c>
      <c r="C615" s="0" t="s">
        <v>4069</v>
      </c>
      <c r="D615" s="0" t="s">
        <v>4070</v>
      </c>
    </row>
    <row customHeight="1" ht="11.25">
      <c r="A616" s="0">
        <v>616</v>
      </c>
      <c r="B616" s="0" t="s">
        <v>4064</v>
      </c>
      <c r="C616" s="0" t="s">
        <v>3607</v>
      </c>
      <c r="D616" s="0" t="s">
        <v>4071</v>
      </c>
    </row>
    <row customHeight="1" ht="11.25">
      <c r="A617" s="0">
        <v>617</v>
      </c>
      <c r="B617" s="0" t="s">
        <v>4064</v>
      </c>
      <c r="C617" s="0" t="s">
        <v>4072</v>
      </c>
      <c r="D617" s="0" t="s">
        <v>4073</v>
      </c>
    </row>
    <row customHeight="1" ht="11.25">
      <c r="A618" s="0">
        <v>618</v>
      </c>
      <c r="B618" s="0" t="s">
        <v>4064</v>
      </c>
      <c r="C618" s="0" t="s">
        <v>3883</v>
      </c>
      <c r="D618" s="0" t="s">
        <v>4074</v>
      </c>
    </row>
    <row customHeight="1" ht="11.25">
      <c r="A619" s="0">
        <v>619</v>
      </c>
      <c r="B619" s="0" t="s">
        <v>4064</v>
      </c>
      <c r="C619" s="0" t="s">
        <v>4064</v>
      </c>
      <c r="D619" s="0" t="s">
        <v>4075</v>
      </c>
    </row>
    <row customHeight="1" ht="11.25">
      <c r="A620" s="0">
        <v>620</v>
      </c>
      <c r="B620" s="0" t="s">
        <v>4064</v>
      </c>
      <c r="C620" s="0" t="s">
        <v>4076</v>
      </c>
      <c r="D620" s="0" t="s">
        <v>4077</v>
      </c>
    </row>
    <row customHeight="1" ht="11.25">
      <c r="A621" s="0">
        <v>621</v>
      </c>
      <c r="B621" s="0" t="s">
        <v>4078</v>
      </c>
      <c r="C621" s="0" t="s">
        <v>4079</v>
      </c>
      <c r="D621" s="0" t="s">
        <v>4080</v>
      </c>
    </row>
    <row customHeight="1" ht="11.25">
      <c r="A622" s="0">
        <v>622</v>
      </c>
      <c r="B622" s="0" t="s">
        <v>4078</v>
      </c>
      <c r="C622" s="0" t="s">
        <v>3045</v>
      </c>
      <c r="D622" s="0" t="s">
        <v>4081</v>
      </c>
    </row>
    <row customHeight="1" ht="11.25">
      <c r="A623" s="0">
        <v>623</v>
      </c>
      <c r="B623" s="0" t="s">
        <v>4078</v>
      </c>
      <c r="C623" s="0" t="s">
        <v>4082</v>
      </c>
      <c r="D623" s="0" t="s">
        <v>4083</v>
      </c>
    </row>
    <row customHeight="1" ht="11.25">
      <c r="A624" s="0">
        <v>624</v>
      </c>
      <c r="B624" s="0" t="s">
        <v>4078</v>
      </c>
      <c r="C624" s="0" t="s">
        <v>4084</v>
      </c>
      <c r="D624" s="0" t="s">
        <v>4085</v>
      </c>
    </row>
    <row customHeight="1" ht="11.25">
      <c r="A625" s="0">
        <v>625</v>
      </c>
      <c r="B625" s="0" t="s">
        <v>4078</v>
      </c>
      <c r="C625" s="0" t="s">
        <v>4086</v>
      </c>
      <c r="D625" s="0" t="s">
        <v>4087</v>
      </c>
    </row>
    <row customHeight="1" ht="11.25">
      <c r="A626" s="0">
        <v>626</v>
      </c>
      <c r="B626" s="0" t="s">
        <v>4078</v>
      </c>
      <c r="C626" s="0" t="s">
        <v>4088</v>
      </c>
      <c r="D626" s="0" t="s">
        <v>4089</v>
      </c>
    </row>
    <row customHeight="1" ht="11.25">
      <c r="A627" s="0">
        <v>627</v>
      </c>
      <c r="B627" s="0" t="s">
        <v>4078</v>
      </c>
      <c r="C627" s="0" t="s">
        <v>4090</v>
      </c>
      <c r="D627" s="0" t="s">
        <v>4091</v>
      </c>
    </row>
    <row customHeight="1" ht="11.25">
      <c r="A628" s="0">
        <v>628</v>
      </c>
      <c r="B628" s="0" t="s">
        <v>4078</v>
      </c>
      <c r="C628" s="0" t="s">
        <v>4078</v>
      </c>
      <c r="D628" s="0" t="s">
        <v>4092</v>
      </c>
    </row>
    <row customHeight="1" ht="11.25">
      <c r="A629" s="0">
        <v>629</v>
      </c>
      <c r="B629" s="0" t="s">
        <v>4078</v>
      </c>
      <c r="C629" s="0" t="s">
        <v>4093</v>
      </c>
      <c r="D629" s="0" t="s">
        <v>4094</v>
      </c>
    </row>
    <row customHeight="1" ht="11.25">
      <c r="A630" s="0">
        <v>630</v>
      </c>
      <c r="B630" s="0" t="s">
        <v>4078</v>
      </c>
      <c r="C630" s="0" t="s">
        <v>4095</v>
      </c>
      <c r="D630" s="0" t="s">
        <v>4096</v>
      </c>
    </row>
    <row customHeight="1" ht="11.25">
      <c r="A631" s="0">
        <v>631</v>
      </c>
      <c r="B631" s="0" t="s">
        <v>4097</v>
      </c>
      <c r="C631" s="0" t="s">
        <v>2950</v>
      </c>
      <c r="D631" s="0" t="s">
        <v>4098</v>
      </c>
    </row>
    <row customHeight="1" ht="11.25">
      <c r="A632" s="0">
        <v>632</v>
      </c>
      <c r="B632" s="0" t="s">
        <v>4097</v>
      </c>
      <c r="C632" s="0" t="s">
        <v>4099</v>
      </c>
      <c r="D632" s="0" t="s">
        <v>4100</v>
      </c>
    </row>
    <row customHeight="1" ht="11.25">
      <c r="A633" s="0">
        <v>633</v>
      </c>
      <c r="B633" s="0" t="s">
        <v>4097</v>
      </c>
      <c r="C633" s="0" t="s">
        <v>4101</v>
      </c>
      <c r="D633" s="0" t="s">
        <v>4102</v>
      </c>
    </row>
    <row customHeight="1" ht="11.25">
      <c r="A634" s="0">
        <v>634</v>
      </c>
      <c r="B634" s="0" t="s">
        <v>4097</v>
      </c>
      <c r="C634" s="0" t="s">
        <v>4103</v>
      </c>
      <c r="D634" s="0" t="s">
        <v>4104</v>
      </c>
    </row>
    <row customHeight="1" ht="11.25">
      <c r="A635" s="0">
        <v>635</v>
      </c>
      <c r="B635" s="0" t="s">
        <v>4097</v>
      </c>
      <c r="C635" s="0" t="s">
        <v>4105</v>
      </c>
      <c r="D635" s="0" t="s">
        <v>4106</v>
      </c>
    </row>
    <row customHeight="1" ht="11.25">
      <c r="A636" s="0">
        <v>636</v>
      </c>
      <c r="B636" s="0" t="s">
        <v>4097</v>
      </c>
      <c r="C636" s="0" t="s">
        <v>4107</v>
      </c>
      <c r="D636" s="0" t="s">
        <v>4108</v>
      </c>
    </row>
    <row customHeight="1" ht="11.25">
      <c r="A637" s="0">
        <v>637</v>
      </c>
      <c r="B637" s="0" t="s">
        <v>4097</v>
      </c>
      <c r="C637" s="0" t="s">
        <v>4109</v>
      </c>
      <c r="D637" s="0" t="s">
        <v>4110</v>
      </c>
    </row>
    <row customHeight="1" ht="11.25">
      <c r="A638" s="0">
        <v>638</v>
      </c>
      <c r="B638" s="0" t="s">
        <v>4097</v>
      </c>
      <c r="C638" s="0" t="s">
        <v>3707</v>
      </c>
      <c r="D638" s="0" t="s">
        <v>4111</v>
      </c>
    </row>
    <row customHeight="1" ht="11.25">
      <c r="A639" s="0">
        <v>639</v>
      </c>
      <c r="B639" s="0" t="s">
        <v>4097</v>
      </c>
      <c r="C639" s="0" t="s">
        <v>4112</v>
      </c>
      <c r="D639" s="0" t="s">
        <v>4113</v>
      </c>
    </row>
    <row customHeight="1" ht="11.25">
      <c r="A640" s="0">
        <v>640</v>
      </c>
      <c r="B640" s="0" t="s">
        <v>4097</v>
      </c>
      <c r="C640" s="0" t="s">
        <v>4114</v>
      </c>
      <c r="D640" s="0" t="s">
        <v>4115</v>
      </c>
    </row>
    <row customHeight="1" ht="11.25">
      <c r="A641" s="0">
        <v>641</v>
      </c>
      <c r="B641" s="0" t="s">
        <v>4097</v>
      </c>
      <c r="C641" s="0" t="s">
        <v>4031</v>
      </c>
      <c r="D641" s="0" t="s">
        <v>4116</v>
      </c>
    </row>
    <row customHeight="1" ht="11.25">
      <c r="A642" s="0">
        <v>642</v>
      </c>
      <c r="B642" s="0" t="s">
        <v>4097</v>
      </c>
      <c r="C642" s="0" t="s">
        <v>4097</v>
      </c>
      <c r="D642" s="0" t="s">
        <v>4117</v>
      </c>
    </row>
    <row customHeight="1" ht="11.25">
      <c r="A643" s="0">
        <v>643</v>
      </c>
      <c r="B643" s="0" t="s">
        <v>4097</v>
      </c>
      <c r="C643" s="0" t="s">
        <v>4118</v>
      </c>
      <c r="D643" s="0" t="s">
        <v>4119</v>
      </c>
    </row>
    <row customHeight="1" ht="11.25">
      <c r="A644" s="0">
        <v>644</v>
      </c>
      <c r="B644" s="0" t="s">
        <v>4097</v>
      </c>
      <c r="C644" s="0" t="s">
        <v>4120</v>
      </c>
      <c r="D644" s="0" t="s">
        <v>4121</v>
      </c>
    </row>
    <row customHeight="1" ht="11.25">
      <c r="A645" s="0">
        <v>645</v>
      </c>
      <c r="B645" s="0" t="s">
        <v>4122</v>
      </c>
      <c r="C645" s="0" t="s">
        <v>4123</v>
      </c>
      <c r="D645" s="0" t="s">
        <v>4124</v>
      </c>
    </row>
    <row customHeight="1" ht="11.25">
      <c r="A646" s="0">
        <v>646</v>
      </c>
      <c r="B646" s="0" t="s">
        <v>4122</v>
      </c>
      <c r="C646" s="0" t="s">
        <v>4125</v>
      </c>
      <c r="D646" s="0" t="s">
        <v>4126</v>
      </c>
    </row>
    <row customHeight="1" ht="11.25">
      <c r="A647" s="0">
        <v>647</v>
      </c>
      <c r="B647" s="0" t="s">
        <v>4122</v>
      </c>
      <c r="C647" s="0" t="s">
        <v>4127</v>
      </c>
      <c r="D647" s="0" t="s">
        <v>4128</v>
      </c>
    </row>
    <row customHeight="1" ht="11.25">
      <c r="A648" s="0">
        <v>648</v>
      </c>
      <c r="B648" s="0" t="s">
        <v>4122</v>
      </c>
      <c r="C648" s="0" t="s">
        <v>4129</v>
      </c>
      <c r="D648" s="0" t="s">
        <v>4130</v>
      </c>
    </row>
    <row customHeight="1" ht="11.25">
      <c r="A649" s="0">
        <v>649</v>
      </c>
      <c r="B649" s="0" t="s">
        <v>4122</v>
      </c>
      <c r="C649" s="0" t="s">
        <v>4131</v>
      </c>
      <c r="D649" s="0" t="s">
        <v>4132</v>
      </c>
    </row>
    <row customHeight="1" ht="11.25">
      <c r="A650" s="0">
        <v>650</v>
      </c>
      <c r="B650" s="0" t="s">
        <v>4122</v>
      </c>
      <c r="C650" s="0" t="s">
        <v>4133</v>
      </c>
      <c r="D650" s="0" t="s">
        <v>4134</v>
      </c>
    </row>
    <row customHeight="1" ht="11.25">
      <c r="A651" s="0">
        <v>651</v>
      </c>
      <c r="B651" s="0" t="s">
        <v>4122</v>
      </c>
      <c r="C651" s="0" t="s">
        <v>4135</v>
      </c>
      <c r="D651" s="0" t="s">
        <v>4136</v>
      </c>
    </row>
    <row customHeight="1" ht="11.25">
      <c r="A652" s="0">
        <v>652</v>
      </c>
      <c r="B652" s="0" t="s">
        <v>4122</v>
      </c>
      <c r="C652" s="0" t="s">
        <v>3883</v>
      </c>
      <c r="D652" s="0" t="s">
        <v>4137</v>
      </c>
    </row>
    <row customHeight="1" ht="11.25">
      <c r="A653" s="0">
        <v>653</v>
      </c>
      <c r="B653" s="0" t="s">
        <v>4122</v>
      </c>
      <c r="C653" s="0" t="s">
        <v>4138</v>
      </c>
      <c r="D653" s="0" t="s">
        <v>4139</v>
      </c>
    </row>
    <row customHeight="1" ht="11.25">
      <c r="A654" s="0">
        <v>654</v>
      </c>
      <c r="B654" s="0" t="s">
        <v>4122</v>
      </c>
      <c r="C654" s="0" t="s">
        <v>4122</v>
      </c>
      <c r="D654" s="0" t="s">
        <v>4140</v>
      </c>
    </row>
    <row customHeight="1" ht="11.25">
      <c r="A655" s="0">
        <v>655</v>
      </c>
      <c r="B655" s="0" t="s">
        <v>4122</v>
      </c>
      <c r="C655" s="0" t="s">
        <v>4141</v>
      </c>
      <c r="D655" s="0" t="s">
        <v>4142</v>
      </c>
    </row>
    <row customHeight="1" ht="11.25">
      <c r="A656" s="0">
        <v>656</v>
      </c>
      <c r="B656" s="0" t="s">
        <v>4143</v>
      </c>
      <c r="C656" s="0" t="s">
        <v>4144</v>
      </c>
      <c r="D656" s="0" t="s">
        <v>4145</v>
      </c>
    </row>
    <row customHeight="1" ht="11.25">
      <c r="A657" s="0">
        <v>657</v>
      </c>
      <c r="B657" s="0" t="s">
        <v>4143</v>
      </c>
      <c r="C657" s="0" t="s">
        <v>4146</v>
      </c>
      <c r="D657" s="0" t="s">
        <v>4147</v>
      </c>
    </row>
    <row customHeight="1" ht="11.25">
      <c r="A658" s="0">
        <v>658</v>
      </c>
      <c r="B658" s="0" t="s">
        <v>4143</v>
      </c>
      <c r="C658" s="0" t="s">
        <v>2916</v>
      </c>
      <c r="D658" s="0" t="s">
        <v>4148</v>
      </c>
    </row>
    <row customHeight="1" ht="11.25">
      <c r="A659" s="0">
        <v>659</v>
      </c>
      <c r="B659" s="0" t="s">
        <v>4143</v>
      </c>
      <c r="C659" s="0" t="s">
        <v>4149</v>
      </c>
      <c r="D659" s="0" t="s">
        <v>4150</v>
      </c>
    </row>
    <row customHeight="1" ht="11.25">
      <c r="A660" s="0">
        <v>660</v>
      </c>
      <c r="B660" s="0" t="s">
        <v>4143</v>
      </c>
      <c r="C660" s="0" t="s">
        <v>4151</v>
      </c>
      <c r="D660" s="0" t="s">
        <v>4152</v>
      </c>
    </row>
    <row customHeight="1" ht="11.25">
      <c r="A661" s="0">
        <v>661</v>
      </c>
      <c r="B661" s="0" t="s">
        <v>4143</v>
      </c>
      <c r="C661" s="0" t="s">
        <v>4153</v>
      </c>
      <c r="D661" s="0" t="s">
        <v>4154</v>
      </c>
    </row>
    <row customHeight="1" ht="11.25">
      <c r="A662" s="0">
        <v>662</v>
      </c>
      <c r="B662" s="0" t="s">
        <v>4143</v>
      </c>
      <c r="C662" s="0" t="s">
        <v>4155</v>
      </c>
      <c r="D662" s="0" t="s">
        <v>4156</v>
      </c>
    </row>
    <row customHeight="1" ht="11.25">
      <c r="A663" s="0">
        <v>663</v>
      </c>
      <c r="B663" s="0" t="s">
        <v>4143</v>
      </c>
      <c r="C663" s="0" t="s">
        <v>4157</v>
      </c>
      <c r="D663" s="0" t="s">
        <v>4158</v>
      </c>
    </row>
    <row customHeight="1" ht="11.25">
      <c r="A664" s="0">
        <v>664</v>
      </c>
      <c r="B664" s="0" t="s">
        <v>4143</v>
      </c>
      <c r="C664" s="0" t="s">
        <v>4159</v>
      </c>
      <c r="D664" s="0" t="s">
        <v>4160</v>
      </c>
    </row>
    <row customHeight="1" ht="11.25">
      <c r="A665" s="0">
        <v>665</v>
      </c>
      <c r="B665" s="0" t="s">
        <v>4143</v>
      </c>
      <c r="C665" s="0" t="s">
        <v>4161</v>
      </c>
      <c r="D665" s="0" t="s">
        <v>4162</v>
      </c>
    </row>
    <row customHeight="1" ht="11.25">
      <c r="A666" s="0">
        <v>666</v>
      </c>
      <c r="B666" s="0" t="s">
        <v>4143</v>
      </c>
      <c r="C666" s="0" t="s">
        <v>4143</v>
      </c>
      <c r="D666" s="0" t="s">
        <v>4163</v>
      </c>
    </row>
    <row customHeight="1" ht="11.25">
      <c r="A667" s="0">
        <v>667</v>
      </c>
      <c r="B667" s="0" t="s">
        <v>4143</v>
      </c>
      <c r="C667" s="0" t="s">
        <v>4164</v>
      </c>
      <c r="D667" s="0" t="s">
        <v>4165</v>
      </c>
    </row>
    <row customHeight="1" ht="11.25">
      <c r="A668" s="0">
        <v>668</v>
      </c>
      <c r="B668" s="0" t="s">
        <v>4143</v>
      </c>
      <c r="C668" s="0" t="s">
        <v>4166</v>
      </c>
      <c r="D668" s="0" t="s">
        <v>4167</v>
      </c>
    </row>
    <row customHeight="1" ht="11.25">
      <c r="A669" s="0">
        <v>669</v>
      </c>
      <c r="B669" s="0" t="s">
        <v>4168</v>
      </c>
      <c r="C669" s="0" t="s">
        <v>3016</v>
      </c>
      <c r="D669" s="0" t="s">
        <v>4169</v>
      </c>
    </row>
    <row customHeight="1" ht="11.25">
      <c r="A670" s="0">
        <v>670</v>
      </c>
      <c r="B670" s="0" t="s">
        <v>4168</v>
      </c>
      <c r="C670" s="0" t="s">
        <v>3080</v>
      </c>
      <c r="D670" s="0" t="s">
        <v>4170</v>
      </c>
    </row>
    <row customHeight="1" ht="11.25">
      <c r="A671" s="0">
        <v>671</v>
      </c>
      <c r="B671" s="0" t="s">
        <v>4168</v>
      </c>
      <c r="C671" s="0" t="s">
        <v>2926</v>
      </c>
      <c r="D671" s="0" t="s">
        <v>4171</v>
      </c>
    </row>
    <row customHeight="1" ht="11.25">
      <c r="A672" s="0">
        <v>672</v>
      </c>
      <c r="B672" s="0" t="s">
        <v>4168</v>
      </c>
      <c r="C672" s="0" t="s">
        <v>4172</v>
      </c>
      <c r="D672" s="0" t="s">
        <v>4173</v>
      </c>
    </row>
    <row customHeight="1" ht="11.25">
      <c r="A673" s="0">
        <v>673</v>
      </c>
      <c r="B673" s="0" t="s">
        <v>4168</v>
      </c>
      <c r="C673" s="0" t="s">
        <v>3383</v>
      </c>
      <c r="D673" s="0" t="s">
        <v>4174</v>
      </c>
    </row>
    <row customHeight="1" ht="11.25">
      <c r="A674" s="0">
        <v>674</v>
      </c>
      <c r="B674" s="0" t="s">
        <v>4168</v>
      </c>
      <c r="C674" s="0" t="s">
        <v>4175</v>
      </c>
      <c r="D674" s="0" t="s">
        <v>4176</v>
      </c>
    </row>
    <row customHeight="1" ht="11.25">
      <c r="A675" s="0">
        <v>675</v>
      </c>
      <c r="B675" s="0" t="s">
        <v>4168</v>
      </c>
      <c r="C675" s="0" t="s">
        <v>4177</v>
      </c>
      <c r="D675" s="0" t="s">
        <v>4178</v>
      </c>
    </row>
    <row customHeight="1" ht="11.25">
      <c r="A676" s="0">
        <v>676</v>
      </c>
      <c r="B676" s="0" t="s">
        <v>4168</v>
      </c>
      <c r="C676" s="0" t="s">
        <v>4179</v>
      </c>
      <c r="D676" s="0" t="s">
        <v>4180</v>
      </c>
    </row>
    <row customHeight="1" ht="11.25">
      <c r="A677" s="0">
        <v>677</v>
      </c>
      <c r="B677" s="0" t="s">
        <v>4168</v>
      </c>
      <c r="C677" s="0" t="s">
        <v>4168</v>
      </c>
      <c r="D677" s="0" t="s">
        <v>4181</v>
      </c>
    </row>
    <row customHeight="1" ht="11.25">
      <c r="A678" s="0">
        <v>678</v>
      </c>
      <c r="B678" s="0" t="s">
        <v>4168</v>
      </c>
      <c r="C678" s="0" t="s">
        <v>4095</v>
      </c>
      <c r="D678" s="0" t="s">
        <v>4182</v>
      </c>
    </row>
    <row customHeight="1" ht="11.25">
      <c r="A679" s="0">
        <v>679</v>
      </c>
      <c r="B679" s="0" t="s">
        <v>4183</v>
      </c>
      <c r="C679" s="0" t="s">
        <v>4184</v>
      </c>
      <c r="D679" s="0" t="s">
        <v>4185</v>
      </c>
    </row>
    <row customHeight="1" ht="11.25">
      <c r="A680" s="0">
        <v>680</v>
      </c>
      <c r="B680" s="0" t="s">
        <v>4183</v>
      </c>
      <c r="C680" s="0" t="s">
        <v>4186</v>
      </c>
      <c r="D680" s="0" t="s">
        <v>4187</v>
      </c>
    </row>
    <row customHeight="1" ht="11.25">
      <c r="A681" s="0">
        <v>681</v>
      </c>
      <c r="B681" s="0" t="s">
        <v>4183</v>
      </c>
      <c r="C681" s="0" t="s">
        <v>4188</v>
      </c>
      <c r="D681" s="0" t="s">
        <v>4189</v>
      </c>
    </row>
    <row customHeight="1" ht="11.25">
      <c r="A682" s="0">
        <v>682</v>
      </c>
      <c r="B682" s="0" t="s">
        <v>4183</v>
      </c>
      <c r="C682" s="0" t="s">
        <v>4190</v>
      </c>
      <c r="D682" s="0" t="s">
        <v>4191</v>
      </c>
    </row>
    <row customHeight="1" ht="11.25">
      <c r="A683" s="0">
        <v>683</v>
      </c>
      <c r="B683" s="0" t="s">
        <v>4183</v>
      </c>
      <c r="C683" s="0" t="s">
        <v>4192</v>
      </c>
      <c r="D683" s="0" t="s">
        <v>4193</v>
      </c>
    </row>
    <row customHeight="1" ht="11.25">
      <c r="A684" s="0">
        <v>684</v>
      </c>
      <c r="B684" s="0" t="s">
        <v>4183</v>
      </c>
      <c r="C684" s="0" t="s">
        <v>4194</v>
      </c>
      <c r="D684" s="0" t="s">
        <v>4195</v>
      </c>
    </row>
    <row customHeight="1" ht="11.25">
      <c r="A685" s="0">
        <v>685</v>
      </c>
      <c r="B685" s="0" t="s">
        <v>4183</v>
      </c>
      <c r="C685" s="0" t="s">
        <v>4196</v>
      </c>
      <c r="D685" s="0" t="s">
        <v>4197</v>
      </c>
    </row>
    <row customHeight="1" ht="11.25">
      <c r="A686" s="0">
        <v>686</v>
      </c>
      <c r="B686" s="0" t="s">
        <v>4183</v>
      </c>
      <c r="C686" s="0" t="s">
        <v>4198</v>
      </c>
      <c r="D686" s="0" t="s">
        <v>4199</v>
      </c>
    </row>
    <row customHeight="1" ht="11.25">
      <c r="A687" s="0">
        <v>687</v>
      </c>
      <c r="B687" s="0" t="s">
        <v>4183</v>
      </c>
      <c r="C687" s="0" t="s">
        <v>4183</v>
      </c>
      <c r="D687" s="0" t="s">
        <v>4200</v>
      </c>
    </row>
    <row customHeight="1" ht="11.25">
      <c r="A688" s="0">
        <v>688</v>
      </c>
      <c r="B688" s="0" t="s">
        <v>4183</v>
      </c>
      <c r="C688" s="0" t="s">
        <v>4201</v>
      </c>
      <c r="D688" s="0" t="s">
        <v>4202</v>
      </c>
    </row>
    <row customHeight="1" ht="11.25">
      <c r="A689" s="0">
        <v>689</v>
      </c>
      <c r="B689" s="0" t="s">
        <v>4203</v>
      </c>
      <c r="C689" s="0" t="s">
        <v>4204</v>
      </c>
      <c r="D689" s="0" t="s">
        <v>4205</v>
      </c>
    </row>
    <row customHeight="1" ht="11.25">
      <c r="A690" s="0">
        <v>690</v>
      </c>
      <c r="B690" s="0" t="s">
        <v>4203</v>
      </c>
      <c r="C690" s="0" t="s">
        <v>3649</v>
      </c>
      <c r="D690" s="0" t="s">
        <v>4206</v>
      </c>
    </row>
    <row customHeight="1" ht="11.25">
      <c r="A691" s="0">
        <v>691</v>
      </c>
      <c r="B691" s="0" t="s">
        <v>4203</v>
      </c>
      <c r="C691" s="0" t="s">
        <v>4207</v>
      </c>
      <c r="D691" s="0" t="s">
        <v>4208</v>
      </c>
    </row>
    <row customHeight="1" ht="11.25">
      <c r="A692" s="0">
        <v>692</v>
      </c>
      <c r="B692" s="0" t="s">
        <v>4203</v>
      </c>
      <c r="C692" s="0" t="s">
        <v>4209</v>
      </c>
      <c r="D692" s="0" t="s">
        <v>4210</v>
      </c>
    </row>
    <row customHeight="1" ht="11.25">
      <c r="A693" s="0">
        <v>693</v>
      </c>
      <c r="B693" s="0" t="s">
        <v>4203</v>
      </c>
      <c r="C693" s="0" t="s">
        <v>3141</v>
      </c>
      <c r="D693" s="0" t="s">
        <v>4211</v>
      </c>
    </row>
    <row customHeight="1" ht="11.25">
      <c r="A694" s="0">
        <v>694</v>
      </c>
      <c r="B694" s="0" t="s">
        <v>4203</v>
      </c>
      <c r="C694" s="0" t="s">
        <v>4212</v>
      </c>
      <c r="D694" s="0" t="s">
        <v>4213</v>
      </c>
    </row>
    <row customHeight="1" ht="11.25">
      <c r="A695" s="0">
        <v>695</v>
      </c>
      <c r="B695" s="0" t="s">
        <v>4203</v>
      </c>
      <c r="C695" s="0" t="s">
        <v>4186</v>
      </c>
      <c r="D695" s="0" t="s">
        <v>4214</v>
      </c>
    </row>
    <row customHeight="1" ht="11.25">
      <c r="A696" s="0">
        <v>696</v>
      </c>
      <c r="B696" s="0" t="s">
        <v>4203</v>
      </c>
      <c r="C696" s="0" t="s">
        <v>4215</v>
      </c>
      <c r="D696" s="0" t="s">
        <v>4216</v>
      </c>
    </row>
    <row customHeight="1" ht="11.25">
      <c r="A697" s="0">
        <v>697</v>
      </c>
      <c r="B697" s="0" t="s">
        <v>4203</v>
      </c>
      <c r="C697" s="0" t="s">
        <v>4217</v>
      </c>
      <c r="D697" s="0" t="s">
        <v>4218</v>
      </c>
    </row>
    <row customHeight="1" ht="11.25">
      <c r="A698" s="0">
        <v>698</v>
      </c>
      <c r="B698" s="0" t="s">
        <v>4203</v>
      </c>
      <c r="C698" s="0" t="s">
        <v>4219</v>
      </c>
      <c r="D698" s="0" t="s">
        <v>4220</v>
      </c>
    </row>
    <row customHeight="1" ht="11.25">
      <c r="A699" s="0">
        <v>699</v>
      </c>
      <c r="B699" s="0" t="s">
        <v>4203</v>
      </c>
      <c r="C699" s="0" t="s">
        <v>3005</v>
      </c>
      <c r="D699" s="0" t="s">
        <v>4221</v>
      </c>
    </row>
    <row customHeight="1" ht="11.25">
      <c r="A700" s="0">
        <v>700</v>
      </c>
      <c r="B700" s="0" t="s">
        <v>4203</v>
      </c>
      <c r="C700" s="0" t="s">
        <v>4222</v>
      </c>
      <c r="D700" s="0" t="s">
        <v>4223</v>
      </c>
    </row>
    <row customHeight="1" ht="11.25">
      <c r="A701" s="0">
        <v>701</v>
      </c>
      <c r="B701" s="0" t="s">
        <v>4203</v>
      </c>
      <c r="C701" s="0" t="s">
        <v>3758</v>
      </c>
      <c r="D701" s="0" t="s">
        <v>4224</v>
      </c>
    </row>
    <row customHeight="1" ht="11.25">
      <c r="A702" s="0">
        <v>702</v>
      </c>
      <c r="B702" s="0" t="s">
        <v>4203</v>
      </c>
      <c r="C702" s="0" t="s">
        <v>4225</v>
      </c>
      <c r="D702" s="0" t="s">
        <v>4226</v>
      </c>
    </row>
    <row customHeight="1" ht="11.25">
      <c r="A703" s="0">
        <v>703</v>
      </c>
      <c r="B703" s="0" t="s">
        <v>4203</v>
      </c>
      <c r="C703" s="0" t="s">
        <v>4227</v>
      </c>
      <c r="D703" s="0" t="s">
        <v>4228</v>
      </c>
    </row>
    <row customHeight="1" ht="11.25">
      <c r="A704" s="0">
        <v>704</v>
      </c>
      <c r="B704" s="0" t="s">
        <v>4203</v>
      </c>
      <c r="C704" s="0" t="s">
        <v>4229</v>
      </c>
      <c r="D704" s="0" t="s">
        <v>4230</v>
      </c>
    </row>
    <row customHeight="1" ht="11.25">
      <c r="A705" s="0">
        <v>705</v>
      </c>
      <c r="B705" s="0" t="s">
        <v>4203</v>
      </c>
      <c r="C705" s="0" t="s">
        <v>4231</v>
      </c>
      <c r="D705" s="0" t="s">
        <v>4232</v>
      </c>
    </row>
    <row customHeight="1" ht="11.25">
      <c r="A706" s="0">
        <v>706</v>
      </c>
      <c r="B706" s="0" t="s">
        <v>4203</v>
      </c>
      <c r="C706" s="0" t="s">
        <v>4233</v>
      </c>
      <c r="D706" s="0" t="s">
        <v>4234</v>
      </c>
    </row>
    <row customHeight="1" ht="11.25">
      <c r="A707" s="0">
        <v>707</v>
      </c>
      <c r="B707" s="0" t="s">
        <v>4203</v>
      </c>
      <c r="C707" s="0" t="s">
        <v>4203</v>
      </c>
      <c r="D707" s="0" t="s">
        <v>4235</v>
      </c>
    </row>
    <row customHeight="1" ht="11.25">
      <c r="A708" s="0">
        <v>708</v>
      </c>
      <c r="B708" s="0" t="s">
        <v>4203</v>
      </c>
      <c r="C708" s="0" t="s">
        <v>4236</v>
      </c>
      <c r="D708" s="0" t="s">
        <v>4237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2F58C-8128-AFD8-89C8-712A30D7CD1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7" t="s">
        <v>4238</v>
      </c>
      <c r="B1" s="837" t="s">
        <v>4239</v>
      </c>
      <c r="C1" s="837" t="s">
        <v>1218</v>
      </c>
    </row>
    <row customHeight="1" ht="11.25">
      <c r="A2" s="837">
        <v>4189678</v>
      </c>
      <c r="B2" s="837" t="s">
        <v>4240</v>
      </c>
      <c r="C2" s="837" t="s">
        <v>4241</v>
      </c>
    </row>
    <row customHeight="1" ht="11.25">
      <c r="A3" s="837">
        <v>4190415</v>
      </c>
      <c r="B3" s="837" t="s">
        <v>4242</v>
      </c>
      <c r="C3" s="837" t="s">
        <v>4241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62458-341D-B027-8078-F754D8C07BF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4243</v>
      </c>
      <c r="B1" s="165" t="s">
        <v>4244</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2E5428-7F39-EF58-DE28-A1F9DE6EAA2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4245</v>
      </c>
      <c r="B1" s="0" t="b">
        <v>1</v>
      </c>
    </row>
    <row customHeight="1" ht="11.25">
      <c r="A2" s="0" t="s">
        <v>4246</v>
      </c>
      <c r="B2" s="0" t="b">
        <v>0</v>
      </c>
    </row>
    <row customHeight="1" ht="11.25">
      <c r="A3" s="0" t="s">
        <v>4247</v>
      </c>
      <c r="B3" s="0" t="b">
        <v>0</v>
      </c>
    </row>
    <row customHeight="1" ht="11.25">
      <c r="A4" s="0" t="s">
        <v>4248</v>
      </c>
      <c r="B4" s="0" t="b">
        <v>1</v>
      </c>
    </row>
    <row customHeight="1" ht="11.25">
      <c r="A5" s="0" t="s">
        <v>4249</v>
      </c>
      <c r="B5" s="0" t="b">
        <v>0</v>
      </c>
    </row>
    <row customHeight="1" ht="11.25">
      <c r="A6" s="0" t="s">
        <v>4250</v>
      </c>
      <c r="B6" s="0" t="b">
        <v>0</v>
      </c>
    </row>
    <row customHeight="1" ht="11.25">
      <c r="A7" s="0" t="s">
        <v>4251</v>
      </c>
      <c r="B7" s="0" t="b">
        <v>0</v>
      </c>
    </row>
    <row customHeight="1" ht="11.25">
      <c r="A8" s="0" t="s">
        <v>4252</v>
      </c>
      <c r="B8" s="0" t="b">
        <v>0</v>
      </c>
    </row>
    <row customHeight="1" ht="11.25">
      <c r="A9" s="0" t="s">
        <v>4253</v>
      </c>
      <c r="B9" s="0" t="b">
        <v>0</v>
      </c>
    </row>
    <row customHeight="1" ht="11.25">
      <c r="A10" s="0" t="s">
        <v>4254</v>
      </c>
      <c r="B10" s="0" t="b">
        <v>0</v>
      </c>
    </row>
    <row customHeight="1" ht="11.25">
      <c r="A11" s="0" t="s">
        <v>4255</v>
      </c>
      <c r="B11" s="0" t="b">
        <v>0</v>
      </c>
    </row>
    <row customHeight="1" ht="11.25">
      <c r="A12" s="0" t="s">
        <v>4256</v>
      </c>
      <c r="B12" s="0" t="b">
        <v>1</v>
      </c>
    </row>
    <row customHeight="1" ht="11.25">
      <c r="A13" s="0" t="s">
        <v>4257</v>
      </c>
      <c r="B13" s="0" t="b">
        <v>0</v>
      </c>
    </row>
    <row customHeight="1" ht="11.25">
      <c r="A14" s="0" t="s">
        <v>4258</v>
      </c>
      <c r="B14" s="0" t="b">
        <v>0</v>
      </c>
    </row>
    <row customHeight="1" ht="11.25">
      <c r="A15" s="0" t="s">
        <v>4259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3EA18-F12C-7123-CB48-1D3E67455EA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3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50754-4AF8-7548-5FC7-D3DC744D85B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49" width="36.28125" customWidth="1"/>
    <col min="2" max="2" style="1849" width="21.140625" customWidth="1"/>
  </cols>
  <sheetData>
    <row customHeight="1" ht="11.25">
      <c r="A1" s="69" t="s">
        <v>4260</v>
      </c>
      <c r="B1" s="69" t="s">
        <v>4261</v>
      </c>
    </row>
    <row customHeight="1" ht="11.25">
      <c r="A2" s="66" t="s">
        <v>4262</v>
      </c>
      <c r="B2" s="66" t="s">
        <v>4263</v>
      </c>
    </row>
    <row customHeight="1" ht="11.25">
      <c r="A3" s="66" t="s">
        <v>4264</v>
      </c>
      <c r="B3" s="66" t="s">
        <v>4265</v>
      </c>
    </row>
    <row customHeight="1" ht="11.25">
      <c r="A4" s="66" t="s">
        <v>4266</v>
      </c>
      <c r="B4" s="66" t="s">
        <v>4267</v>
      </c>
    </row>
    <row customHeight="1" ht="11.25">
      <c r="A5" s="66" t="s">
        <v>4268</v>
      </c>
      <c r="B5" s="66" t="s">
        <v>4269</v>
      </c>
    </row>
    <row customHeight="1" ht="11.25">
      <c r="A6" s="66" t="s">
        <v>4270</v>
      </c>
      <c r="B6" s="66" t="s">
        <v>4271</v>
      </c>
    </row>
    <row customHeight="1" ht="11.25">
      <c r="A7" s="66" t="s">
        <v>4272</v>
      </c>
      <c r="B7" s="66" t="s">
        <v>4273</v>
      </c>
    </row>
    <row customHeight="1" ht="11.25">
      <c r="A8" s="66" t="s">
        <v>4274</v>
      </c>
      <c r="B8" s="66" t="s">
        <v>4275</v>
      </c>
    </row>
    <row customHeight="1" ht="11.25">
      <c r="A9" s="66" t="s">
        <v>4276</v>
      </c>
      <c r="B9" s="66" t="s">
        <v>4277</v>
      </c>
    </row>
    <row customHeight="1" ht="11.25">
      <c r="A10" s="66" t="s">
        <v>4278</v>
      </c>
      <c r="B10" s="66" t="s">
        <v>4279</v>
      </c>
    </row>
    <row customHeight="1" ht="11.25">
      <c r="A11" s="66" t="s">
        <v>4280</v>
      </c>
      <c r="B11" s="66" t="s">
        <v>4281</v>
      </c>
    </row>
    <row customHeight="1" ht="11.25">
      <c r="A12" s="66" t="s">
        <v>4282</v>
      </c>
      <c r="B12" s="66" t="s">
        <v>4283</v>
      </c>
    </row>
    <row customHeight="1" ht="11.25">
      <c r="A13" s="66" t="s">
        <v>4284</v>
      </c>
      <c r="B13" s="66" t="s">
        <v>4285</v>
      </c>
    </row>
    <row customHeight="1" ht="11.25">
      <c r="A14" s="66" t="s">
        <v>4286</v>
      </c>
      <c r="B14" s="66" t="s">
        <v>4287</v>
      </c>
    </row>
    <row customHeight="1" ht="11.25">
      <c r="A15" s="66" t="s">
        <v>4288</v>
      </c>
      <c r="B15" s="66" t="s">
        <v>4289</v>
      </c>
    </row>
    <row customHeight="1" ht="11.25">
      <c r="A16" s="66" t="s">
        <v>4290</v>
      </c>
      <c r="B16" s="66" t="s">
        <v>4291</v>
      </c>
    </row>
    <row customHeight="1" ht="11.25">
      <c r="A17" s="66" t="s">
        <v>4292</v>
      </c>
      <c r="B17" s="66" t="s">
        <v>4293</v>
      </c>
    </row>
    <row customHeight="1" ht="11.25">
      <c r="A18" s="66" t="s">
        <v>4294</v>
      </c>
      <c r="B18" s="66" t="s">
        <v>4295</v>
      </c>
    </row>
    <row customHeight="1" ht="11.25">
      <c r="A19" s="66" t="s">
        <v>4296</v>
      </c>
      <c r="B19" s="66" t="s">
        <v>4297</v>
      </c>
    </row>
    <row customHeight="1" ht="11.25">
      <c r="A20" s="66" t="s">
        <v>4298</v>
      </c>
      <c r="B20" s="66" t="s">
        <v>4299</v>
      </c>
    </row>
    <row customHeight="1" ht="11.25">
      <c r="A21" s="66" t="s">
        <v>4300</v>
      </c>
      <c r="B21" s="66" t="s">
        <v>4301</v>
      </c>
    </row>
    <row customHeight="1" ht="11.25">
      <c r="A22" s="66" t="s">
        <v>4302</v>
      </c>
      <c r="B22" s="66" t="s">
        <v>4303</v>
      </c>
    </row>
    <row customHeight="1" ht="11.25">
      <c r="A23" s="66" t="s">
        <v>4304</v>
      </c>
      <c r="B23" s="66" t="s">
        <v>4305</v>
      </c>
    </row>
    <row customHeight="1" ht="11.25">
      <c r="A24" s="66" t="s">
        <v>4306</v>
      </c>
      <c r="B24" s="66" t="s">
        <v>4307</v>
      </c>
    </row>
    <row customHeight="1" ht="11.25">
      <c r="A25" s="66" t="s">
        <v>4308</v>
      </c>
      <c r="B25" s="66" t="s">
        <v>4309</v>
      </c>
    </row>
    <row customHeight="1" ht="11.25">
      <c r="A26" s="66" t="s">
        <v>4310</v>
      </c>
      <c r="B26" s="66" t="s">
        <v>4311</v>
      </c>
    </row>
    <row customHeight="1" ht="11.25">
      <c r="A27" s="66" t="s">
        <v>4312</v>
      </c>
      <c r="B27" s="66" t="s">
        <v>4313</v>
      </c>
    </row>
    <row customHeight="1" ht="11.25">
      <c r="A28" s="66" t="s">
        <v>4314</v>
      </c>
      <c r="B28" s="66" t="s">
        <v>4315</v>
      </c>
    </row>
    <row customHeight="1" ht="11.25">
      <c r="A29" s="66" t="s">
        <v>4316</v>
      </c>
      <c r="B29" s="66" t="s">
        <v>4317</v>
      </c>
    </row>
    <row customHeight="1" ht="11.25">
      <c r="A30" s="66" t="s">
        <v>4318</v>
      </c>
      <c r="B30" s="66" t="s">
        <v>4319</v>
      </c>
    </row>
    <row customHeight="1" ht="11.25">
      <c r="A31" s="66" t="s">
        <v>4320</v>
      </c>
      <c r="B31" s="66" t="s">
        <v>4321</v>
      </c>
    </row>
    <row customHeight="1" ht="11.25">
      <c r="A32" s="66" t="s">
        <v>4322</v>
      </c>
      <c r="B32" s="66" t="s">
        <v>4323</v>
      </c>
    </row>
    <row customHeight="1" ht="11.25">
      <c r="A33" s="66" t="s">
        <v>4324</v>
      </c>
      <c r="B33" s="66" t="s">
        <v>4325</v>
      </c>
    </row>
    <row customHeight="1" ht="11.25">
      <c r="A34" s="66" t="s">
        <v>4326</v>
      </c>
      <c r="B34" s="66" t="s">
        <v>4327</v>
      </c>
    </row>
    <row customHeight="1" ht="11.25">
      <c r="A35" s="66" t="s">
        <v>4328</v>
      </c>
      <c r="B35" s="66" t="s">
        <v>4329</v>
      </c>
    </row>
    <row customHeight="1" ht="11.25">
      <c r="A36" s="66" t="s">
        <v>4330</v>
      </c>
      <c r="B36" s="66" t="s">
        <v>4331</v>
      </c>
    </row>
    <row customHeight="1" ht="11.25">
      <c r="A37" s="66" t="s">
        <v>4332</v>
      </c>
      <c r="B37" s="66" t="s">
        <v>4333</v>
      </c>
    </row>
    <row customHeight="1" ht="11.25">
      <c r="A38" s="66" t="s">
        <v>4334</v>
      </c>
      <c r="B38" s="66" t="s">
        <v>4335</v>
      </c>
    </row>
    <row customHeight="1" ht="11.25">
      <c r="A39" s="66" t="s">
        <v>4336</v>
      </c>
      <c r="B39" s="66" t="s">
        <v>4337</v>
      </c>
    </row>
    <row customHeight="1" ht="11.25">
      <c r="A40" s="66" t="s">
        <v>4338</v>
      </c>
      <c r="B40" s="66" t="s">
        <v>4339</v>
      </c>
    </row>
    <row customHeight="1" ht="11.25">
      <c r="A41" s="66" t="s">
        <v>4340</v>
      </c>
      <c r="B41" s="66" t="s">
        <v>4341</v>
      </c>
    </row>
    <row customHeight="1" ht="11.25">
      <c r="A42" s="66" t="s">
        <v>4342</v>
      </c>
      <c r="B42" s="66" t="s">
        <v>4343</v>
      </c>
    </row>
    <row customHeight="1" ht="11.25">
      <c r="A43" s="66" t="s">
        <v>4344</v>
      </c>
      <c r="B43" s="66" t="s">
        <v>4345</v>
      </c>
    </row>
    <row customHeight="1" ht="11.25">
      <c r="A44" s="66" t="s">
        <v>4346</v>
      </c>
      <c r="B44" s="66" t="s">
        <v>4347</v>
      </c>
    </row>
    <row customHeight="1" ht="11.25">
      <c r="A45" s="66" t="s">
        <v>4348</v>
      </c>
      <c r="B45" s="66" t="s">
        <v>4349</v>
      </c>
    </row>
    <row customHeight="1" ht="11.25">
      <c r="A46" s="66" t="s">
        <v>4350</v>
      </c>
      <c r="B46" s="66" t="s">
        <v>4351</v>
      </c>
    </row>
    <row customHeight="1" ht="11.25">
      <c r="A47" s="66" t="s">
        <v>4352</v>
      </c>
      <c r="B47" s="66" t="s">
        <v>4353</v>
      </c>
    </row>
    <row customHeight="1" ht="11.25">
      <c r="A48" s="66" t="s">
        <v>4354</v>
      </c>
      <c r="B48" s="66" t="s">
        <v>4355</v>
      </c>
    </row>
    <row customHeight="1" ht="11.25">
      <c r="A49" s="66" t="s">
        <v>4356</v>
      </c>
      <c r="B49" s="66" t="s">
        <v>4357</v>
      </c>
    </row>
    <row customHeight="1" ht="11.25">
      <c r="A50" s="66" t="s">
        <v>4358</v>
      </c>
      <c r="B50" s="66" t="s">
        <v>4359</v>
      </c>
    </row>
    <row customHeight="1" ht="11.25">
      <c r="A51" s="66" t="s">
        <v>4360</v>
      </c>
      <c r="B51" s="66" t="s">
        <v>4361</v>
      </c>
    </row>
    <row customHeight="1" ht="11.25">
      <c r="A52" s="66" t="s">
        <v>4362</v>
      </c>
      <c r="B52" s="66" t="s">
        <v>4363</v>
      </c>
    </row>
    <row customHeight="1" ht="11.25">
      <c r="A53" s="66" t="s">
        <v>4364</v>
      </c>
      <c r="B53" s="66" t="s">
        <v>4365</v>
      </c>
    </row>
    <row customHeight="1" ht="11.25">
      <c r="A54" s="66" t="s">
        <v>4366</v>
      </c>
      <c r="B54" s="66" t="s">
        <v>4367</v>
      </c>
    </row>
    <row customHeight="1" ht="11.25">
      <c r="A55" s="66" t="s">
        <v>4368</v>
      </c>
      <c r="B55" s="66" t="s">
        <v>4369</v>
      </c>
    </row>
    <row customHeight="1" ht="11.25">
      <c r="A56" s="66" t="s">
        <v>4370</v>
      </c>
      <c r="B56" s="66" t="s">
        <v>4371</v>
      </c>
    </row>
    <row customHeight="1" ht="11.25">
      <c r="A57" s="66" t="s">
        <v>4372</v>
      </c>
      <c r="B57" s="66" t="s">
        <v>4373</v>
      </c>
    </row>
    <row customHeight="1" ht="11.25">
      <c r="A58" s="66" t="s">
        <v>4374</v>
      </c>
      <c r="B58" s="66" t="s">
        <v>4375</v>
      </c>
    </row>
    <row customHeight="1" ht="11.25">
      <c r="A59" s="66" t="s">
        <v>4376</v>
      </c>
      <c r="B59" s="66" t="s">
        <v>4377</v>
      </c>
    </row>
    <row customHeight="1" ht="11.25">
      <c r="A60" s="66" t="s">
        <v>4378</v>
      </c>
      <c r="B60" s="66" t="s">
        <v>4379</v>
      </c>
    </row>
    <row customHeight="1" ht="11.25">
      <c r="A61" s="66"/>
      <c r="B61" s="66" t="s">
        <v>4380</v>
      </c>
    </row>
    <row customHeight="1" ht="11.25">
      <c r="A62" s="66"/>
      <c r="B62" s="66" t="s">
        <v>4381</v>
      </c>
    </row>
    <row customHeight="1" ht="11.25">
      <c r="A63" s="66"/>
      <c r="B63" s="66" t="s">
        <v>4382</v>
      </c>
    </row>
    <row customHeight="1" ht="11.25">
      <c r="A64" s="66"/>
      <c r="B64" s="66" t="s">
        <v>4383</v>
      </c>
    </row>
    <row customHeight="1" ht="11.25">
      <c r="A65" s="66"/>
      <c r="B65" s="66" t="s">
        <v>4384</v>
      </c>
    </row>
    <row customHeight="1" ht="11.25">
      <c r="A66" s="66"/>
      <c r="B66" s="66" t="s">
        <v>4385</v>
      </c>
    </row>
    <row customHeight="1" ht="11.25">
      <c r="A67" s="66"/>
      <c r="B67" s="66" t="s">
        <v>4386</v>
      </c>
    </row>
    <row customHeight="1" ht="11.25">
      <c r="A68" s="66"/>
      <c r="B68" s="66" t="s">
        <v>4387</v>
      </c>
    </row>
    <row customHeight="1" ht="11.25">
      <c r="A69" s="66"/>
      <c r="B69" s="66" t="s">
        <v>4388</v>
      </c>
    </row>
    <row customHeight="1" ht="11.25">
      <c r="A70" s="66"/>
      <c r="B70" s="66" t="s">
        <v>4389</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AFC07-8B08-D6CE-4DF6-B60072C16D1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49" width="3.7109375" customWidth="1"/>
    <col min="2" max="2" style="1849" width="90.7109375" customWidth="1"/>
    <col min="3" max="4" style="1849" width="9.140625"/>
  </cols>
  <sheetData>
    <row customHeight="1" ht="11.25">
      <c r="B1" s="95" t="s">
        <v>4390</v>
      </c>
    </row>
    <row customHeight="1" ht="90">
      <c r="B2" s="96" t="s">
        <v>4391</v>
      </c>
    </row>
    <row customHeight="1" ht="67.5">
      <c r="B3" s="96" t="s">
        <v>4392</v>
      </c>
    </row>
    <row customHeight="1" ht="33.75">
      <c r="B4" s="96" t="s">
        <v>4393</v>
      </c>
    </row>
    <row customHeight="1" ht="11.25">
      <c r="B5" s="96" t="s">
        <v>4394</v>
      </c>
    </row>
    <row customHeight="1" ht="22.5">
      <c r="B6" s="96" t="s">
        <v>4395</v>
      </c>
    </row>
    <row customHeight="1" ht="22.5">
      <c r="B7" s="96" t="s">
        <v>4396</v>
      </c>
    </row>
    <row customHeight="1" ht="22.5">
      <c r="B8" s="96" t="s">
        <v>4397</v>
      </c>
    </row>
    <row customHeight="1" ht="22.5">
      <c r="B9" s="96" t="s">
        <v>4398</v>
      </c>
    </row>
    <row customHeight="1" ht="56.25">
      <c r="B10" s="96" t="s">
        <v>4399</v>
      </c>
    </row>
    <row customHeight="1" ht="12.75">
      <c r="B11" s="161" t="s">
        <v>4400</v>
      </c>
    </row>
    <row customHeight="1" ht="11.25">
      <c r="B12" s="95" t="s">
        <v>4401</v>
      </c>
    </row>
    <row customHeight="1" ht="22.5">
      <c r="B13" s="96" t="s">
        <v>4402</v>
      </c>
    </row>
    <row customHeight="1" ht="67.5">
      <c r="B14" s="96" t="s">
        <v>4403</v>
      </c>
    </row>
    <row customHeight="1" ht="22.5">
      <c r="B15" s="96" t="s">
        <v>4404</v>
      </c>
    </row>
    <row customHeight="1" ht="11.25">
      <c r="B16" s="95" t="s">
        <v>4405</v>
      </c>
      <c r="D16" s="102"/>
    </row>
    <row customHeight="1" ht="33.75">
      <c r="B17" s="96" t="s">
        <v>4406</v>
      </c>
    </row>
    <row customHeight="1" ht="33.75">
      <c r="B18" s="96" t="s">
        <v>4407</v>
      </c>
    </row>
    <row customHeight="1" ht="11.25">
      <c r="B19" s="96" t="s">
        <v>4408</v>
      </c>
    </row>
    <row customHeight="1" ht="33.75">
      <c r="B20" s="96" t="s">
        <v>4409</v>
      </c>
    </row>
    <row customHeight="1" ht="11.25">
      <c r="B21" s="95" t="s">
        <v>4410</v>
      </c>
    </row>
    <row customHeight="1" ht="11.25">
      <c r="B22" s="96" t="s">
        <v>4411</v>
      </c>
    </row>
    <row r="24" customHeight="1" ht="22.5">
      <c r="B24" s="163" t="s">
        <v>4412</v>
      </c>
    </row>
    <row r="26" customHeight="1" ht="11.25">
      <c r="B26" s="95" t="s">
        <v>4413</v>
      </c>
    </row>
    <row customHeight="1" ht="22.5">
      <c r="B27" s="162" t="s">
        <v>391</v>
      </c>
    </row>
    <row customHeight="1" ht="56.25">
      <c r="B28" s="162" t="s">
        <v>4414</v>
      </c>
    </row>
    <row customHeight="1" ht="11.25">
      <c r="B29" s="212" t="s">
        <v>4415</v>
      </c>
    </row>
    <row customHeight="1" ht="22.5">
      <c r="B30" s="162" t="s">
        <v>4416</v>
      </c>
    </row>
    <row r="32" customHeight="1" ht="11.25">
      <c r="A32" s="190"/>
      <c r="B32" s="191" t="s">
        <v>4417</v>
      </c>
    </row>
    <row customHeight="1" ht="14.25">
      <c r="A33" s="192">
        <v>1</v>
      </c>
      <c r="B33" s="193" t="s">
        <v>4418</v>
      </c>
    </row>
    <row customHeight="1" ht="14.25">
      <c r="A34" s="192">
        <v>2</v>
      </c>
      <c r="B34" s="193" t="s">
        <v>4419</v>
      </c>
    </row>
    <row customHeight="1" ht="11.25">
      <c r="B35" s="191" t="s">
        <v>4420</v>
      </c>
    </row>
    <row customHeight="1" ht="11.25">
      <c r="B36" s="193" t="s">
        <v>4421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2208</vt:i4>
      </vt:variant>
    </vt:vector>
  </HeadingPairs>
  <TitlesOfParts>
    <vt:vector size="220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2025-11-25T09:09:05Z</dcterms:modified>
</cp:coreProperties>
</file>

<file path=docProps/custom.xml><?xml version="1.0" encoding="utf-8"?>
<Properties xmlns="http://schemas.openxmlformats.org/officeDocument/2006/custom-properties" xmlns:vt="http://schemas.openxmlformats.org/officeDocument/2006/docPropsVTypes"/>
</file>