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ФХД'!$N$84</definedName>
    <definedName name="B_FHD_CHECK_INDEX_2">'Показатели ФХД'!$N$86</definedName>
    <definedName name="B_FHD_COSTS_INDEX_1">'Показатели ФХД'!$H$83:$L$83</definedName>
    <definedName name="B_FHD_COSTS_INDEX_2">'Показатели ФХД'!$H$85:$L$85</definedName>
    <definedName name="B_FHD_DATA_TOP80_ACTIVITY">'Показатели ФХД'!$H$104:$L$104</definedName>
    <definedName name="B_FHD_diff_1">'Показатели ФХД'!$I$25:$I$27</definedName>
    <definedName name="B_FHD_FLAG_DIFFERENTIATION">'Показатели ФХД'!$H$24:$L$24</definedName>
    <definedName name="B_FHD_FLAG_INDEX_1">'Показатели ФХД'!$H$84:$L$84</definedName>
    <definedName name="B_FHD_FLAG_INDEX_2">'Показатели ФХД'!$H$86:$L$86</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ФХД'!$105:$113</definedName>
    <definedName name="BLOCK_POK_FHD_COLDVSNA_P2">'Показатели ФХД'!$144:$148</definedName>
    <definedName name="BLOCK_POK_FHD_HEAT_ONLY_REG_ORG_P1">'Показатели ФХД'!$74:$75</definedName>
    <definedName name="BLOCK_POK_FHD_HEAT_ONLY_REG_ORG_P2">'Показатели ФХД'!$103:$172</definedName>
    <definedName name="BLOCK_POK_FHD_HEAT_P1">'Показатели ФХД'!$33:$58</definedName>
    <definedName name="BLOCK_POK_FHD_HEAT_P2">'Показатели ФХД'!$95:$95</definedName>
    <definedName name="BLOCK_POK_FHD_HEAT_P3">'Показатели ФХД'!$122:$140</definedName>
    <definedName name="BLOCK_POK_FHD_HEAT_P4">'Показатели ФХД'!$142:$142</definedName>
    <definedName name="BLOCK_POK_FHD_HEAT_P5">'Показатели ФХД'!$149:$171</definedName>
    <definedName name="BLOCK_POK_FHD_HEAT_P6">'Показатели ФХД'!$65:$65</definedName>
    <definedName name="BLOCK_POK_FHD_HOTVSNA_P1">'Показатели ФХД'!$59:$61</definedName>
    <definedName name="BLOCK_POK_FHD_HOTVSNA_P2">'Показатели ФХД'!$114:$118</definedName>
    <definedName name="BLOCK_POK_FHD_NOT_HEAT_P1">'Показатели ФХД'!$85:$86</definedName>
    <definedName name="BLOCK_POK_FHD_NOT_HEAT_P2">'Показатели ФХД'!$103:$103</definedName>
    <definedName name="BLOCK_POK_FHD_NOT_HOTVSNA">'Показатели ФХД'!$66:$66</definedName>
    <definedName name="BLOCK_POK_FHD_VOTV_P1">'Показатели ФХД'!$119:$121</definedName>
    <definedName name="BLOCK_POK_FHD_VSNA">'Показатели ФХД'!$143:$143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Детализация'!$A$68:$A$68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ФХД'!$F$58</definedName>
    <definedName name="pIns_B_FHD_2">'Показатели ФХД'!$F$94</definedName>
    <definedName name="pIns_B_FHD_3">'Показатели ФХД'!$F$130</definedName>
    <definedName name="pIns_B_FHD_4">'Показатели ФХД'!$F$148</definedName>
    <definedName name="pIns_B_FHD_5">'Показатели ФХД'!$F$157</definedName>
    <definedName name="pIns_B_FHD_6">'Показатели ФХД'!$F$166</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Детализация'!$F$68</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ФХД'!$L$172</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Детализация'!$AH$68</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TEHSHEET!$BE$2:$BE$74</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REESTR_IP_RANGE">REESTR_IP!$A$2:$I$17</definedName>
    <definedName name="IP_MAIN_ip_5">ИП!$13:$14</definedName>
    <definedName name="IP_QRE_ip_5">'ИП. КНЭ'!$21:$23</definedName>
    <definedName name="IP_DETAILED_ip_5">'ИП. Детализация'!$14:$67</definedName>
    <definedName name="IP_FIN_PLAN_ip_5">'ИП. Финансовый план'!$K$11:$O$11</definedName>
    <definedName name="REESTR_INFR_RANGE">REESTR_OBJ_INFR!$A$2:$AL$13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<sst xmlns="http://schemas.openxmlformats.org/spreadsheetml/2006/main" count="12819" uniqueCount="3154">
  <si>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</si>
  <si>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</si>
  <si>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</si>
  <si>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</si>
  <si>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</si>
  <si>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</si>
  <si>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</si>
  <si>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</si>
  <si>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</si>
  <si>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</si>
  <si>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</si>
  <si>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</si>
  <si>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</si>
  <si>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</si>
  <si>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</si>
  <si>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</si>
  <si>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</si>
  <si>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</si>
  <si>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</si>
  <si>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</si>
  <si>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</si>
  <si>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</si>
  <si>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</si>
  <si>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</si>
  <si>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</si>
  <si>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</si>
  <si>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</si>
  <si>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</si>
  <si>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</si>
  <si>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</si>
  <si>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</si>
  <si>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</si>
  <si>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</si>
  <si>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</si>
  <si>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</si>
  <si>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</si>
  <si>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</si>
  <si>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</si>
  <si>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</si>
  <si>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</si>
  <si>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</si>
  <si>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</si>
  <si>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</si>
  <si>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</si>
  <si>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</si>
  <si>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</si>
  <si>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</si>
  <si>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</si>
  <si>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</si>
  <si>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</si>
  <si>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</si>
  <si>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</si>
  <si>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</si>
  <si>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</si>
  <si>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</si>
  <si>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</si>
  <si>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</si>
  <si>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</si>
  <si>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</si>
  <si>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</si>
  <si>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</si>
  <si>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</si>
  <si>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</si>
  <si>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</si>
  <si>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</si>
  <si>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</si>
  <si>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</si>
  <si>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</si>
  <si>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</si>
  <si>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</si>
  <si>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</si>
  <si>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</si>
  <si>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</si>
  <si>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</si>
  <si>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</si>
  <si>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</si>
  <si>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</si>
  <si>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</si>
  <si>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</si>
  <si>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</si>
  <si>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</si>
  <si>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</si>
  <si>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</si>
  <si>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</si>
  <si>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</si>
  <si>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</si>
  <si>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</si>
  <si>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</si>
  <si>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</si>
  <si>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</si>
  <si>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</si>
  <si>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</si>
  <si>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</si>
  <si>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</si>
  <si>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</si>
  <si>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</si>
  <si>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</si>
  <si>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</si>
  <si>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</si>
  <si>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</si>
  <si>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</si>
  <si>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</si>
  <si>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</si>
  <si>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</si>
  <si>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</si>
  <si>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</si>
  <si>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</si>
  <si>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</si>
  <si>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</si>
  <si>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</si>
  <si>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</si>
  <si>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</si>
  <si>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</si>
  <si>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</si>
  <si>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</si>
  <si>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</si>
  <si>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</si>
  <si>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Теплоснабжение за исключением сел Горнозаводск и Шебунино</t>
  </si>
  <si>
    <t>diff_1</t>
  </si>
  <si>
    <t>4190064</t>
  </si>
  <si>
    <t>a</t>
  </si>
  <si>
    <t>×</t>
  </si>
  <si>
    <t>Теплоснабжение с.Горнозаводск</t>
  </si>
  <si>
    <t>diff_5</t>
  </si>
  <si>
    <t>Теплоснабжение с.Шебунино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</si>
  <si>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</si>
  <si>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</si>
  <si>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</si>
  <si>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</si>
  <si>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</si>
  <si>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</si>
  <si>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</si>
  <si>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</si>
  <si>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</si>
  <si>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</si>
  <si>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</si>
  <si>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</si>
  <si>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</si>
  <si>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</si>
  <si>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</si>
  <si>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</si>
  <si>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</si>
  <si>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</si>
  <si>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</si>
  <si>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</si>
  <si>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</si>
  <si>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</si>
  <si>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</si>
  <si>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</si>
  <si>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</si>
  <si>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</si>
  <si>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</si>
  <si>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</si>
  <si>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</si>
  <si>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</si>
  <si>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</si>
  <si>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</si>
  <si>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</si>
  <si>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</si>
  <si>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</si>
  <si>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</si>
  <si>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</si>
  <si>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</si>
  <si>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</si>
  <si>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</si>
  <si>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</si>
  <si>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</si>
  <si>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</si>
  <si>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</si>
  <si>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</si>
  <si>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</si>
  <si>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</si>
  <si>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</si>
  <si>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</si>
  <si>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</si>
  <si>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</si>
  <si>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</si>
  <si>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</si>
  <si>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</si>
  <si>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</si>
  <si>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</si>
  <si>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</si>
  <si>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</si>
  <si>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</si>
  <si>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</si>
  <si>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</si>
  <si>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</si>
  <si>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</si>
  <si>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</si>
  <si>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</si>
  <si>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</si>
  <si>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</si>
  <si>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</si>
  <si>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</si>
  <si>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</si>
  <si>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</si>
  <si>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</si>
  <si>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</si>
  <si>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</si>
  <si>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</si>
  <si>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</si>
  <si>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</si>
  <si>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</si>
  <si>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</si>
  <si>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</si>
  <si>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</si>
  <si>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</si>
  <si>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</si>
  <si>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</si>
  <si>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</si>
  <si>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</si>
  <si>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</si>
  <si>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</si>
  <si>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</si>
  <si>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</si>
  <si>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</si>
  <si>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</si>
  <si>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</si>
  <si>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</si>
  <si>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</si>
  <si>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</si>
  <si>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</si>
  <si>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</si>
  <si>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</si>
  <si>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</si>
  <si>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</si>
  <si>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</si>
  <si>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</si>
  <si>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</si>
  <si>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</si>
  <si>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</si>
  <si>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</si>
  <si>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</si>
  <si>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</si>
  <si>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</si>
  <si>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</si>
  <si>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</si>
  <si>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</si>
  <si>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</si>
  <si>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</si>
  <si>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</si>
  <si>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</si>
  <si>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</si>
  <si>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</si>
  <si>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</si>
  <si>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</si>
  <si>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</si>
  <si>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</si>
  <si>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</si>
  <si>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</si>
  <si>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</si>
  <si>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</si>
  <si>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</si>
  <si>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</si>
  <si>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</si>
  <si>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</si>
  <si>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</si>
  <si>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</si>
  <si>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</si>
  <si>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</si>
  <si>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</si>
  <si>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</si>
  <si>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</si>
  <si>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</si>
  <si>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</si>
  <si>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</si>
  <si>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</si>
  <si>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</si>
  <si>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</si>
  <si>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</si>
  <si>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</si>
  <si>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</si>
  <si>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</si>
  <si>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</si>
  <si>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</si>
  <si>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</si>
  <si>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</si>
  <si>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</si>
  <si>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</si>
  <si>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</si>
  <si>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</si>
  <si>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</si>
  <si>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</si>
  <si>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</si>
  <si>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</si>
  <si>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</si>
  <si>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</si>
  <si>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</si>
  <si>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</si>
  <si>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</si>
  <si>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</si>
  <si>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</si>
  <si>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</si>
  <si>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</si>
  <si>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</si>
  <si>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</si>
  <si>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</si>
  <si>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</si>
  <si>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</si>
  <si>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</si>
  <si>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</si>
  <si>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</si>
  <si>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</si>
  <si>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</si>
  <si>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</si>
  <si>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</si>
  <si>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</si>
  <si>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</si>
  <si>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</si>
  <si>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</si>
  <si>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</si>
  <si>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</si>
  <si>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</si>
  <si>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</si>
  <si>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</si>
  <si>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</si>
  <si>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</si>
  <si>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</si>
  <si>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</si>
  <si>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</si>
  <si>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</si>
  <si>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</si>
  <si>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</si>
  <si>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</si>
  <si>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</si>
  <si>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</si>
  <si>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</si>
  <si>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</si>
  <si>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</si>
  <si>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</si>
  <si>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</si>
  <si>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</si>
  <si>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</si>
  <si>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</si>
  <si>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</si>
  <si>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</si>
  <si>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</si>
  <si>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</si>
  <si>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</si>
  <si>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</si>
  <si>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</si>
  <si>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</si>
  <si>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</si>
  <si>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</si>
  <si>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</si>
  <si>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</si>
  <si>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</si>
  <si>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</si>
  <si>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</si>
  <si>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</si>
  <si>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</si>
  <si>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</si>
  <si>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</si>
  <si>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</si>
  <si>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</si>
  <si>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</si>
  <si>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</si>
  <si>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</si>
  <si>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</si>
  <si>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</si>
  <si>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</si>
  <si>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</si>
  <si>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</si>
  <si>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</si>
  <si>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</si>
  <si>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</si>
  <si>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</si>
  <si>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</si>
  <si>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</si>
  <si>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</si>
  <si>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</si>
  <si>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</si>
  <si>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</si>
  <si>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</si>
  <si>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</si>
  <si>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</si>
  <si>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</si>
  <si>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</si>
  <si>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</si>
  <si>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</si>
  <si>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</si>
  <si>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</si>
  <si>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</si>
  <si>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</si>
  <si>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</si>
  <si>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</si>
  <si>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</si>
  <si>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</si>
  <si>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</si>
  <si>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</si>
  <si>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</si>
  <si>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</si>
  <si>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</si>
  <si>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</si>
  <si>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</si>
  <si>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</si>
  <si>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</si>
  <si>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</si>
  <si>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</si>
  <si>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</si>
  <si>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</si>
  <si>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</si>
  <si>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</si>
  <si>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</si>
  <si>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</si>
  <si>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</si>
  <si>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</si>
  <si>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</si>
  <si>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</si>
  <si>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</si>
  <si>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</si>
  <si>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</si>
  <si>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</si>
  <si>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</si>
  <si>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</si>
  <si>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</si>
  <si>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</si>
  <si>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</si>
  <si>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</si>
  <si>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</si>
  <si>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</si>
  <si>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</si>
  <si>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</si>
  <si>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</si>
  <si>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</si>
  <si>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</si>
  <si>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</si>
  <si>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</si>
  <si>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</si>
  <si>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</si>
  <si>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</si>
  <si>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</si>
  <si>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</si>
  <si>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</si>
  <si>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</si>
  <si>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</si>
  <si>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</si>
  <si>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</si>
  <si>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</si>
  <si>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</si>
  <si>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</si>
  <si>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</si>
  <si>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</si>
  <si>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</si>
  <si>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</si>
  <si>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</si>
  <si>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</si>
  <si>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</si>
  <si>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</si>
  <si>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</si>
  <si>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</si>
  <si>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</si>
  <si>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</si>
  <si>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</si>
  <si>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</si>
  <si>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</si>
  <si>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</si>
  <si>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</si>
  <si>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</si>
  <si>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</si>
  <si>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</si>
  <si>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</si>
  <si>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</si>
  <si>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</si>
  <si>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</si>
  <si>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</si>
  <si>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</si>
  <si>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</si>
  <si>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</si>
  <si>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</si>
  <si>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</si>
  <si>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</si>
  <si>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</si>
  <si>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</si>
  <si>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</si>
  <si>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</si>
  <si>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</si>
  <si>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</si>
  <si>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</si>
  <si>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</si>
  <si>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</si>
  <si>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</si>
  <si>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</si>
  <si>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</si>
  <si>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</si>
  <si>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</si>
  <si>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</si>
  <si>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</si>
  <si>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</si>
  <si>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</si>
  <si>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</si>
  <si>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</si>
  <si>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</si>
  <si>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</si>
  <si>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</si>
  <si>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</si>
  <si>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</si>
  <si>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</si>
  <si>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</si>
  <si>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</si>
  <si>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</si>
  <si>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</si>
  <si>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</si>
  <si>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</si>
  <si>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</si>
  <si>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</si>
  <si>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</si>
  <si>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</si>
  <si>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</si>
  <si>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</si>
  <si>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</si>
  <si>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</si>
  <si>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</si>
  <si>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</si>
  <si>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</si>
  <si>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</si>
  <si>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</si>
  <si>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</si>
  <si>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</si>
  <si>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</si>
  <si>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</si>
  <si>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</si>
  <si>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</si>
  <si>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</si>
  <si>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</si>
  <si>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</si>
  <si>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</si>
  <si>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</si>
  <si>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</si>
  <si>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</si>
  <si>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</si>
  <si>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</si>
  <si>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</si>
  <si>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</si>
  <si>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</si>
  <si>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</si>
  <si>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</si>
  <si>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</si>
  <si>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</si>
  <si>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</si>
  <si>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</si>
  <si>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</si>
  <si>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</si>
  <si>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</si>
  <si>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</si>
  <si>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</si>
  <si>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</si>
  <si>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</si>
  <si>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</si>
  <si>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</si>
  <si>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</si>
  <si>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</si>
  <si>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</si>
  <si>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</si>
  <si>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</si>
  <si>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</si>
  <si>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</si>
  <si>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</si>
  <si>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</si>
  <si>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</si>
  <si>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</si>
  <si>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</si>
  <si>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</si>
  <si>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</si>
  <si>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</si>
  <si>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</si>
  <si>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</si>
  <si>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</si>
  <si>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</si>
  <si>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</si>
  <si>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</si>
  <si>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</si>
  <si>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уголь каменный</t>
  </si>
  <si>
    <t>тонны</t>
  </si>
  <si>
    <t>Торги/аукционы</t>
  </si>
  <si>
    <t>газ сжиженный</t>
  </si>
  <si>
    <t>кг</t>
  </si>
  <si>
    <t>мазут</t>
  </si>
  <si>
    <t>Добавить вид топлива</t>
  </si>
  <si>
    <t>HOTVSNA_P1</t>
  </si>
  <si>
    <t>руб.</t>
  </si>
  <si>
    <t>тыс. кВт·ч</t>
  </si>
  <si>
    <t>HEAT_P6</t>
  </si>
  <si>
    <t>NOT_HOTVSNA</t>
  </si>
  <si>
    <t>отсутствует</t>
  </si>
  <si>
    <t>NOT_HEAT_P1</t>
  </si>
  <si>
    <t>Расходы автотранспортного участка на производство</t>
  </si>
  <si>
    <t>Расходы на охрану труда</t>
  </si>
  <si>
    <t>Услуги производственного характера со стороны</t>
  </si>
  <si>
    <t>Расходы на дизельное топливо для ДЭС</t>
  </si>
  <si>
    <t>Расходы на отопление структурных подразделений</t>
  </si>
  <si>
    <t>Добавить прочие расходы</t>
  </si>
  <si>
    <t>HEAT_P2</t>
  </si>
  <si>
    <t>NOT_HEAT_P2</t>
  </si>
  <si>
    <t>hyp</t>
  </si>
  <si>
    <t>https://portal.eias.ru/Portal/DownloadPage.aspx?type=12&amp;guid=60e5ede0-2b6a-42a7-b526-953a63e96968</t>
  </si>
  <si>
    <t>COLDVSNA_P1</t>
  </si>
  <si>
    <t>тыс. куб. м</t>
  </si>
  <si>
    <t>HOTVSNA_P2</t>
  </si>
  <si>
    <t>тыс. Гкал</t>
  </si>
  <si>
    <t>VOTV_P1</t>
  </si>
  <si>
    <t>HEAT_P3</t>
  </si>
  <si>
    <t>Центральная районная котельная</t>
  </si>
  <si>
    <t>Котельная №10</t>
  </si>
  <si>
    <t>Котельная Приморская</t>
  </si>
  <si>
    <t>Блок-модульная котельная</t>
  </si>
  <si>
    <t>Котельная №12</t>
  </si>
  <si>
    <t>Модульная котельная</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</si>
  <si>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</si>
  <si>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</si>
  <si>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</si>
  <si>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</si>
  <si>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</si>
  <si>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</si>
  <si>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</si>
  <si>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</si>
  <si>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</si>
  <si>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</si>
  <si>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</si>
  <si>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Котельная !Приморская"</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</si>
  <si>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</si>
  <si>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котельная !Приморская"</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</si>
  <si>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</si>
  <si>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</si>
  <si>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</si>
  <si>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https://portal.eias.ru/Portal/DownloadPage.aspx?type=12&amp;guid=383865ae-dadf-4404-a626-195b106f8db5</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</si>
  <si>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</si>
  <si>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</si>
  <si>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</si>
  <si>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</si>
  <si>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</si>
  <si>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</si>
  <si>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</si>
  <si>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</si>
  <si>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</si>
  <si>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</si>
  <si>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</si>
  <si>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</si>
  <si>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</si>
  <si>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</si>
  <si>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</si>
  <si>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</si>
  <si>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</si>
  <si>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</si>
  <si>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</si>
  <si>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</si>
  <si>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</si>
  <si>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</si>
  <si>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</si>
  <si>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</si>
  <si>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</si>
  <si>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</si>
  <si>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</si>
  <si>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</si>
  <si>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</si>
  <si>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</si>
  <si>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</si>
  <si>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</si>
  <si>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</si>
  <si>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</si>
  <si>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</si>
  <si>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</si>
  <si>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</si>
  <si>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</si>
  <si>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</si>
  <si>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</si>
  <si>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</si>
  <si>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</si>
  <si>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</si>
  <si>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</si>
  <si>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</si>
  <si>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</si>
  <si>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</si>
  <si>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</si>
  <si>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</si>
  <si>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</si>
  <si>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</si>
  <si>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</si>
  <si>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</si>
  <si>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</si>
  <si>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</si>
  <si>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</si>
  <si>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</si>
  <si>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</si>
  <si>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</si>
  <si>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</si>
  <si>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</si>
  <si>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</si>
  <si>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</si>
  <si>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</si>
  <si>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</si>
  <si>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</si>
  <si>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</si>
  <si>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</si>
  <si>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</si>
  <si>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</si>
  <si>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</si>
  <si>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</si>
  <si>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</si>
  <si>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</si>
  <si>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</si>
  <si>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</si>
  <si>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</si>
  <si>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</si>
  <si>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</si>
  <si>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</si>
  <si>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</si>
  <si>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</si>
  <si>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</si>
  <si>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</si>
  <si>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</si>
  <si>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</si>
  <si>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</si>
  <si>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</si>
  <si>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</si>
  <si>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</si>
  <si>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</si>
  <si>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</si>
  <si>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</si>
  <si>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</si>
  <si>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</si>
  <si>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</si>
  <si>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</si>
  <si>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</si>
  <si>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</si>
  <si>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</si>
  <si>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</si>
  <si>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</si>
  <si>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</si>
  <si>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</si>
  <si>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</si>
  <si>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</si>
  <si>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</si>
  <si>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</si>
  <si>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</si>
  <si>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</si>
  <si>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</si>
  <si>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</si>
  <si>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</si>
  <si>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</si>
  <si>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</si>
  <si>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</si>
  <si>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</si>
  <si>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</si>
  <si>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</si>
  <si>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</si>
  <si>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</si>
  <si>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</si>
  <si>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</si>
  <si>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</si>
  <si>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</si>
  <si>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</si>
  <si>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</si>
  <si>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</si>
  <si>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</si>
  <si>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</si>
  <si>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</si>
  <si>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</si>
  <si>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</si>
  <si>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</si>
  <si>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</si>
  <si>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</si>
  <si>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</si>
  <si>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</si>
  <si>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</si>
  <si>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</si>
  <si>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</si>
  <si>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</si>
  <si>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</si>
  <si>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</si>
  <si>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</si>
  <si>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</si>
  <si>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</si>
  <si>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</si>
  <si>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</si>
  <si>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</si>
  <si>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</si>
  <si>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</si>
  <si>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</si>
  <si>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</si>
  <si>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</si>
  <si>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</si>
  <si>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</si>
  <si>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</si>
  <si>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</si>
  <si>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</si>
  <si>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</si>
  <si>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</si>
  <si>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</si>
  <si>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</si>
  <si>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</si>
  <si>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</si>
  <si>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</si>
  <si>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</si>
  <si>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</si>
  <si>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</si>
  <si>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</si>
  <si>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</si>
  <si>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</si>
  <si>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</si>
  <si>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</si>
  <si>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</si>
  <si>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</si>
  <si>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</si>
  <si>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</si>
  <si>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</si>
  <si>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</si>
  <si>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</si>
  <si>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</si>
  <si>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</si>
  <si>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</si>
  <si>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</si>
  <si>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</si>
  <si>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</si>
  <si>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</si>
  <si>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</si>
  <si>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</si>
  <si>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</si>
  <si>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</si>
  <si>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</si>
  <si>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</si>
  <si>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</si>
  <si>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</si>
  <si>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</si>
  <si>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</si>
  <si>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</si>
  <si>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</si>
  <si>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</si>
  <si>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</si>
  <si>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</si>
  <si>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</si>
  <si>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</si>
  <si>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</si>
  <si>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</si>
  <si>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</si>
  <si>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</si>
  <si>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</si>
  <si>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</si>
  <si>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</si>
  <si>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</si>
  <si>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</si>
  <si>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</si>
  <si>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</si>
  <si>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</si>
  <si>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</si>
  <si>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</si>
  <si>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</si>
  <si>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</si>
  <si>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</si>
  <si>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</si>
  <si>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</si>
  <si>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</si>
  <si>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</si>
  <si>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</si>
  <si>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</si>
  <si>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</si>
  <si>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</si>
  <si>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</si>
  <si>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</si>
  <si>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</si>
  <si>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</si>
  <si>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</si>
  <si>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</si>
  <si>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</si>
  <si>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</si>
  <si>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</si>
  <si>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0,67</t>
  </si>
  <si>
    <t>0,75</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</si>
  <si>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</si>
  <si>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</si>
  <si>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</si>
  <si>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</si>
  <si>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</si>
  <si>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</si>
  <si>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</si>
  <si>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</si>
  <si>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</si>
  <si>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</si>
  <si>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</si>
  <si>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</si>
  <si>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</si>
  <si>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</si>
  <si>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</si>
  <si>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</si>
  <si>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</si>
  <si>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</si>
  <si>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</si>
  <si>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</si>
  <si>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</si>
  <si>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</si>
  <si>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</si>
  <si>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</si>
  <si>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</si>
  <si>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</si>
  <si>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</si>
  <si>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</si>
  <si>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</si>
  <si>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</si>
  <si>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</si>
  <si>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</si>
  <si>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</si>
  <si>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</si>
  <si>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</si>
  <si>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</si>
  <si>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</si>
  <si>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</si>
  <si>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</si>
  <si>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</si>
  <si>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</si>
  <si>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</si>
  <si>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</si>
  <si>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</si>
  <si>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</si>
  <si>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</si>
  <si>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</si>
  <si>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</si>
  <si>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</si>
  <si>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</si>
  <si>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</si>
  <si>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</si>
  <si>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</si>
  <si>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</si>
  <si>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</si>
  <si>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</si>
  <si>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</si>
  <si>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</si>
  <si>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</si>
  <si>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</si>
  <si>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</si>
  <si>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</si>
  <si>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</si>
  <si>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</si>
  <si>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</si>
  <si>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</si>
  <si>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</si>
  <si>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</si>
  <si>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</si>
  <si>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</si>
  <si>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</si>
  <si>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</si>
  <si>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</si>
  <si>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</si>
  <si>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</si>
  <si>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</si>
  <si>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</si>
  <si>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</si>
  <si>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</si>
  <si>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</si>
  <si>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</si>
  <si>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</si>
  <si>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</si>
  <si>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</si>
  <si>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</si>
  <si>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</si>
  <si>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</si>
  <si>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</si>
  <si>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</si>
  <si>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</si>
  <si>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</si>
  <si>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</si>
  <si>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</si>
  <si>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</si>
  <si>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</si>
  <si>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</si>
  <si>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</si>
  <si>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</si>
  <si>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</si>
  <si>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</si>
  <si>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</si>
  <si>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</si>
  <si>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</si>
  <si>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</si>
  <si>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</si>
  <si>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</si>
  <si>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</si>
  <si>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</si>
  <si>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</si>
  <si>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</si>
  <si>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</si>
  <si>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</si>
  <si>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</si>
  <si>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</si>
  <si>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</si>
  <si>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</si>
  <si>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</si>
  <si>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</si>
  <si>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</si>
  <si>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</si>
  <si>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</si>
  <si>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</si>
  <si>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</si>
  <si>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</si>
  <si>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</si>
  <si>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</si>
  <si>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</si>
  <si>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</si>
  <si>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</si>
  <si>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</si>
  <si>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</si>
  <si>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</si>
  <si>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</si>
  <si>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</si>
  <si>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</si>
  <si>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</si>
  <si>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</si>
  <si>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</si>
  <si>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</si>
  <si>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</si>
  <si>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</si>
  <si>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</si>
  <si>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</si>
  <si>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</si>
  <si>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</si>
  <si>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</si>
  <si>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</si>
  <si>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</si>
  <si>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</si>
  <si>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</si>
  <si>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</si>
  <si>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</si>
  <si>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</si>
  <si>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</si>
  <si>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</si>
  <si>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</si>
  <si>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</si>
  <si>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</si>
  <si>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</si>
  <si>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</si>
  <si>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</si>
  <si>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</si>
  <si>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повышение надёжности и энергетической эффективности</t>
  </si>
  <si>
    <t>Министерство жилищно-коммунального хозяйства Сахалинской области</t>
  </si>
  <si>
    <t>Муниципальное образование "Невельский городской округ"</t>
  </si>
  <si>
    <t>01.01.2024</t>
  </si>
  <si>
    <t>31.12.2026</t>
  </si>
  <si>
    <t>Об утверждении инвестиционной программы МУП «Невельские коммунальные сети» в сфере теплоснабжения на 2024-2026 годы (изменения от 24.05.2024 N 1-3.10-432/24, от 30.07.2025 N 1-3.10-468/25)</t>
  </si>
  <si>
    <t>приказ</t>
  </si>
  <si>
    <t>1-3.10-291/23</t>
  </si>
  <si>
    <t>08.06.2023</t>
  </si>
  <si>
    <t>О внесении изменений в приказ министерства ЖКХ Сахалинсмкой области от 08.06.2023г. № 1-3.20-291/23 "Об утверждении инвестиционной программы МУП "Невельские коммунальные сети" в сфере теплоснабжения на 2024-2026годы"</t>
  </si>
  <si>
    <t>Приказ</t>
  </si>
  <si>
    <t>1-3.10-432/24</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</si>
  <si>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</si>
  <si>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</si>
  <si>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</si>
  <si>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</si>
  <si>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</si>
  <si>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</si>
  <si>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</si>
  <si>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</si>
  <si>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</si>
  <si>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</si>
  <si>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</si>
  <si>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</si>
  <si>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</si>
  <si>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</si>
  <si>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</si>
  <si>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</si>
  <si>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</si>
  <si>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</si>
  <si>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</si>
  <si>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</si>
  <si>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</si>
  <si>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</si>
  <si>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</si>
  <si>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</si>
  <si>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</si>
  <si>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</si>
  <si>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</si>
  <si>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</si>
  <si>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</si>
  <si>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</si>
  <si>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</si>
  <si>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</si>
  <si>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Увеличение диаметра тепловых сетей с ДУ-200мм на ДУ-250мм от насосной "70 лет Октября"</t>
  </si>
  <si>
    <t>Октябрь</t>
  </si>
  <si>
    <t>2024</t>
  </si>
  <si>
    <t>Районная котельная</t>
  </si>
  <si>
    <t>ТИ с сетями</t>
  </si>
  <si>
    <t>г Невельск</t>
  </si>
  <si>
    <t>64728000001</t>
  </si>
  <si>
    <t>ул. Советская</t>
  </si>
  <si>
    <t>36</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</si>
  <si>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</si>
  <si>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</si>
  <si>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</si>
  <si>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Увеличение диаметра тепловых сетей с ДУ-150 мм.на ДУ-200 мм от насосной !70 лет Октября"</t>
  </si>
  <si>
    <t>строительство насосной станции "70 лет Октября" с увеличением мощности насосов</t>
  </si>
  <si>
    <t>Добавить мероприятие</t>
  </si>
  <si>
    <t>Реконструкция распределительной тепловой сети,участок по ул.Ленина от городской бани до бывшего здания судомеханического отделения (СМО)</t>
  </si>
  <si>
    <t>2025</t>
  </si>
  <si>
    <t>Срок выполнения не наступил</t>
  </si>
  <si>
    <t>Реконструкция распределительной тепловой сети,участок по ул.Советской от УТ-2-1,УТ -2-7 до разветвления 2-17</t>
  </si>
  <si>
    <t>Реконструкция распределительной тепловой сети,участок от УТ-2-37 до насосной СМУ (диаметр 200мм)</t>
  </si>
  <si>
    <t>2026</t>
  </si>
  <si>
    <t>Реконструкция распределительной тепловой сети,участок от УТ-2-37 до насосной СМУ (диаметр 100мм)</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</si>
  <si>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</si>
  <si>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</si>
  <si>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</si>
  <si>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</si>
  <si>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</si>
  <si>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</si>
  <si>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</si>
  <si>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</si>
  <si>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</si>
  <si>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</si>
  <si>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</si>
  <si>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</si>
  <si>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</si>
  <si>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</si>
  <si>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</si>
  <si>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</si>
  <si>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</si>
  <si>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</si>
  <si>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</si>
  <si>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</si>
  <si>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</si>
  <si>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</si>
  <si>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</si>
  <si>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</si>
  <si>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</si>
  <si>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</si>
  <si>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</si>
  <si>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</si>
  <si>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</si>
  <si>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</si>
  <si>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</si>
  <si>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</si>
  <si>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</si>
  <si>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</si>
  <si>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</si>
  <si>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</si>
  <si>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</si>
  <si>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</si>
  <si>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</si>
  <si>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</si>
  <si>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</si>
  <si>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</si>
  <si>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</si>
  <si>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</si>
  <si>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</si>
  <si>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</si>
  <si>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</si>
  <si>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</si>
  <si>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</si>
  <si>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</si>
  <si>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</si>
  <si>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</si>
  <si>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</si>
  <si>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</si>
  <si>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</si>
  <si>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</si>
  <si>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</si>
  <si>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</si>
  <si>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</si>
  <si>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</si>
  <si>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</si>
  <si>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</si>
  <si>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</si>
  <si>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</si>
  <si>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</si>
  <si>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</si>
  <si>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</si>
  <si>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</si>
  <si>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</si>
  <si>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</si>
  <si>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</si>
  <si>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</si>
  <si>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</si>
  <si>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</si>
  <si>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</si>
  <si>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</si>
  <si>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</si>
  <si>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</si>
  <si>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</si>
  <si>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</si>
  <si>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</si>
  <si>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</si>
  <si>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</si>
  <si>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</si>
  <si>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</si>
  <si>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</si>
  <si>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</si>
  <si>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</si>
  <si>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</si>
  <si>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</si>
  <si>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</si>
  <si>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</si>
  <si>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</si>
  <si>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</si>
  <si>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</si>
  <si>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</si>
  <si>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</si>
  <si>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</si>
  <si>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</si>
  <si>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</si>
  <si>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</si>
  <si>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схема теплоснабжения</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</si>
  <si>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</si>
  <si>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</si>
  <si>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</si>
  <si>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</si>
  <si>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</si>
  <si>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</si>
  <si>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</si>
  <si>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</si>
  <si>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</si>
  <si>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</si>
  <si>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</si>
  <si>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</si>
  <si>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</si>
  <si>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</si>
  <si>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</si>
  <si>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</si>
  <si>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</si>
  <si>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</si>
  <si>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</si>
  <si>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</si>
  <si>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</si>
  <si>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</si>
  <si>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</si>
  <si>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</si>
  <si>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</si>
  <si>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</si>
  <si>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</si>
  <si>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</si>
  <si>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</si>
  <si>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</si>
  <si>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</si>
  <si>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</si>
  <si>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</si>
  <si>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</si>
  <si>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</si>
  <si>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</si>
  <si>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</si>
  <si>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</si>
  <si>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</si>
  <si>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</si>
  <si>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</si>
  <si>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</si>
  <si>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</si>
  <si>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</si>
  <si>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</si>
  <si>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</si>
  <si>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</si>
  <si>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</si>
  <si>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</si>
  <si>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</si>
  <si>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</si>
  <si>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</si>
  <si>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</si>
  <si>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</si>
  <si>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</si>
  <si>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</si>
  <si>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</si>
  <si>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</si>
  <si>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</si>
  <si>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</si>
  <si>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</si>
  <si>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</si>
  <si>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</si>
  <si>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</si>
  <si>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</si>
  <si>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</si>
  <si>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</si>
  <si>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</si>
  <si>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</si>
  <si>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</si>
  <si>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</si>
  <si>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</si>
  <si>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</si>
  <si>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</si>
  <si>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</si>
  <si>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</si>
  <si>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</si>
  <si>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</si>
  <si>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</si>
  <si>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</si>
  <si>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</si>
  <si>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</si>
  <si>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</si>
  <si>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</si>
  <si>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</si>
  <si>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</si>
  <si>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</si>
  <si>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</si>
  <si>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</si>
  <si>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</si>
  <si>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</si>
  <si>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</si>
  <si>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</si>
  <si>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</si>
  <si>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</si>
  <si>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</si>
  <si>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</si>
  <si>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</si>
  <si>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</si>
  <si>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</si>
  <si>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</si>
  <si>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</si>
  <si>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</si>
  <si>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</si>
  <si>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</si>
  <si>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</si>
  <si>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</si>
  <si>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</si>
  <si>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</si>
  <si>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</si>
  <si>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</si>
  <si>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</si>
  <si>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</si>
  <si>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</si>
  <si>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</si>
  <si>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</si>
  <si>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</si>
  <si>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</si>
  <si>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</si>
  <si>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</si>
  <si>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</si>
  <si>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</si>
  <si>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</si>
  <si>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</si>
  <si>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</si>
  <si>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</si>
  <si>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</si>
  <si>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</si>
  <si>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</si>
  <si>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</si>
  <si>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</si>
  <si>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</si>
  <si>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</si>
  <si>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</si>
  <si>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</si>
  <si>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</si>
  <si>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</si>
  <si>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</si>
  <si>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</si>
  <si>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</si>
  <si>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</si>
  <si>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</si>
  <si>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</si>
  <si>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</si>
  <si>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</si>
  <si>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</si>
  <si>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</si>
  <si>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</si>
  <si>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</si>
  <si>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</si>
  <si>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</si>
  <si>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</si>
  <si>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</si>
  <si>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</si>
  <si>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</si>
  <si>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</si>
  <si>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</si>
  <si>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</si>
  <si>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</si>
  <si>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</si>
  <si>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</si>
  <si>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</si>
  <si>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</si>
  <si>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</si>
  <si>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</si>
  <si>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</si>
  <si>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</si>
  <si>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</si>
  <si>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</si>
  <si>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</si>
  <si>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</si>
  <si>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</si>
  <si>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</si>
  <si>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</si>
  <si>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</si>
  <si>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</si>
  <si>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</si>
  <si>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</si>
  <si>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</si>
  <si>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</si>
  <si>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</si>
  <si>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</si>
  <si>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</si>
  <si>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</si>
  <si>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</si>
  <si>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</si>
  <si>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</si>
  <si>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</si>
  <si>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</si>
  <si>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</si>
  <si>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</si>
  <si>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</si>
  <si>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</si>
  <si>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</si>
  <si>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</si>
  <si>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</si>
  <si>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</si>
  <si>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</si>
  <si>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</si>
  <si>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</si>
  <si>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</si>
  <si>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</si>
  <si>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</si>
  <si>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</si>
  <si>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</si>
  <si>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</si>
  <si>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</si>
  <si>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</si>
  <si>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</si>
  <si>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</si>
  <si>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</si>
  <si>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</si>
  <si>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</si>
  <si>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</si>
  <si>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</si>
  <si>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</si>
  <si>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</si>
  <si>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</si>
  <si>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</si>
  <si>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</si>
  <si>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</si>
  <si>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</si>
  <si>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</si>
  <si>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</si>
  <si>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</si>
  <si>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</si>
  <si>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</si>
  <si>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</si>
  <si>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</si>
  <si>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</si>
  <si>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</si>
  <si>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</si>
  <si>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</si>
  <si>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</si>
  <si>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</si>
  <si>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</si>
  <si>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</si>
  <si>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</si>
  <si>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</si>
  <si>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</si>
  <si>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</si>
  <si>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</si>
  <si>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</si>
  <si>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</si>
  <si>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</si>
  <si>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</si>
  <si>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</si>
  <si>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</si>
  <si>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</si>
  <si>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</si>
  <si>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</si>
  <si>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</si>
  <si>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</si>
  <si>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</si>
  <si>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</si>
  <si>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</si>
  <si>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</si>
  <si>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</si>
  <si>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</si>
  <si>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</si>
  <si>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</si>
  <si>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</si>
  <si>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</si>
  <si>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</si>
  <si>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</si>
  <si>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</si>
  <si>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</si>
  <si>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</si>
  <si>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</si>
  <si>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</si>
  <si>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</si>
  <si>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</si>
  <si>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</si>
  <si>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</si>
  <si>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</si>
  <si>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</si>
  <si>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</si>
  <si>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</si>
  <si>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</si>
  <si>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</si>
  <si>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</si>
  <si>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</si>
  <si>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</si>
  <si>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</si>
  <si>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</si>
  <si>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</si>
  <si>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</si>
  <si>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</si>
  <si>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</si>
  <si>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</si>
  <si>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</si>
  <si>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</si>
  <si>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</si>
  <si>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</si>
  <si>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</si>
  <si>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</si>
  <si>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</si>
  <si>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</si>
  <si>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</si>
  <si>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</si>
  <si>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</si>
  <si>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</si>
  <si>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</si>
  <si>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</si>
  <si>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</si>
  <si>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</si>
  <si>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</si>
  <si>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</si>
  <si>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</si>
  <si>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</si>
  <si>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</si>
  <si>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</si>
  <si>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</si>
  <si>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</si>
  <si>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</si>
  <si>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</si>
  <si>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</si>
  <si>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</si>
  <si>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</si>
  <si>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</si>
  <si>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</si>
  <si>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</si>
  <si>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</si>
  <si>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</si>
  <si>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</si>
  <si>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</si>
  <si>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</si>
  <si>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</si>
  <si>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</si>
  <si>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</si>
  <si>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</si>
  <si>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</si>
  <si>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</si>
  <si>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</si>
  <si>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</si>
  <si>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</si>
  <si>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</si>
  <si>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</si>
  <si>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</si>
  <si>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</si>
  <si>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</si>
  <si>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</si>
  <si>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</si>
  <si>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</si>
  <si>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</si>
  <si>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</si>
  <si>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</si>
  <si>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</si>
  <si>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</si>
  <si>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</si>
  <si>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</si>
  <si>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</si>
  <si>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</si>
  <si>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</si>
  <si>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</si>
  <si>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</si>
  <si>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</si>
  <si>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</si>
  <si>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</si>
  <si>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</si>
  <si>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</si>
  <si>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</si>
  <si>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</si>
  <si>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</si>
  <si>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</si>
  <si>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</si>
  <si>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</si>
  <si>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</si>
  <si>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</si>
  <si>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</si>
  <si>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</si>
  <si>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</si>
  <si>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</si>
  <si>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</si>
  <si>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</si>
  <si>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</si>
  <si>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</si>
  <si>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</si>
  <si>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</si>
  <si>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</si>
  <si>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</si>
  <si>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</si>
  <si>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</si>
  <si>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</si>
  <si>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</si>
  <si>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</si>
  <si>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</si>
  <si>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</si>
  <si>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</si>
  <si>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</si>
  <si>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</si>
  <si>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</si>
  <si>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</si>
  <si>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</si>
  <si>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</si>
  <si>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</si>
  <si>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</si>
  <si>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</si>
  <si>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</si>
  <si>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</si>
  <si>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</si>
  <si>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</si>
  <si>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</si>
  <si>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</si>
  <si>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</si>
  <si>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</si>
  <si>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</si>
  <si>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</si>
  <si>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</si>
  <si>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</si>
  <si>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</si>
  <si>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</si>
  <si>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</si>
  <si>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</si>
  <si>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</si>
  <si>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</si>
  <si>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</si>
  <si>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</si>
  <si>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</si>
  <si>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</si>
  <si>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</si>
  <si>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</si>
  <si>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</si>
  <si>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</si>
  <si>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</si>
  <si>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</si>
  <si>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</si>
  <si>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</si>
  <si>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</si>
  <si>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</si>
  <si>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</si>
  <si>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</si>
  <si>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</si>
  <si>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</si>
  <si>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</si>
  <si>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</si>
  <si>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</si>
  <si>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</si>
  <si>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</si>
  <si>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</si>
  <si>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</si>
  <si>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</si>
  <si>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</si>
  <si>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</si>
  <si>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</si>
  <si>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</si>
  <si>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</si>
  <si>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</si>
  <si>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</si>
  <si>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</si>
  <si>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</si>
  <si>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</si>
  <si>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</si>
  <si>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</si>
  <si>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</si>
  <si>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</si>
  <si>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</si>
  <si>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</si>
  <si>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</si>
  <si>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</si>
  <si>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</si>
  <si>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</si>
  <si>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</si>
  <si>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</si>
  <si>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</si>
  <si>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</si>
  <si>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</si>
  <si>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</si>
  <si>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</si>
  <si>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</si>
  <si>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</si>
  <si>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</si>
  <si>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</si>
  <si>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</si>
  <si>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</si>
  <si>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</si>
  <si>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</si>
  <si>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</si>
  <si>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</si>
  <si>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</si>
  <si>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</si>
  <si>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</si>
  <si>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</si>
  <si>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</si>
  <si>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</si>
  <si>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</si>
  <si>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</si>
  <si>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</si>
  <si>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</si>
  <si>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</si>
  <si>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</si>
  <si>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</si>
  <si>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</si>
  <si>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</si>
  <si>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</si>
  <si>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</si>
  <si>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</si>
  <si>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</si>
  <si>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</si>
  <si>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</si>
  <si>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</si>
  <si>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</si>
  <si>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</si>
  <si>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</si>
  <si>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</si>
  <si>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</si>
  <si>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</si>
  <si>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</si>
  <si>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</si>
  <si>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</si>
  <si>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</si>
  <si>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</si>
  <si>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</si>
  <si>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</si>
  <si>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</si>
  <si>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</si>
  <si>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</si>
  <si>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</si>
  <si>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</si>
  <si>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</si>
  <si>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</si>
  <si>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</si>
  <si>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</si>
  <si>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</si>
  <si>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</si>
  <si>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</si>
  <si>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</si>
  <si>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</si>
  <si>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</si>
  <si>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</si>
  <si>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</si>
  <si>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</si>
  <si>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</si>
  <si>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</si>
  <si>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</si>
  <si>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</si>
  <si>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</si>
  <si>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</si>
  <si>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</si>
  <si>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</si>
  <si>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</si>
  <si>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</si>
  <si>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</si>
  <si>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</si>
  <si>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</si>
  <si>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</si>
  <si>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</si>
  <si>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</si>
  <si>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</si>
  <si>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</si>
  <si>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</si>
  <si>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</si>
  <si>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</si>
  <si>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</si>
  <si>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</si>
  <si>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</si>
  <si>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</si>
  <si>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</si>
  <si>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</si>
  <si>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</si>
  <si>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</si>
  <si>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</si>
  <si>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</si>
  <si>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</si>
  <si>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</si>
  <si>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</si>
  <si>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</si>
  <si>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</si>
  <si>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</si>
  <si>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</si>
  <si>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</si>
  <si>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</si>
  <si>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</si>
  <si>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</si>
  <si>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</si>
  <si>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</si>
  <si>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</si>
  <si>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</si>
  <si>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</si>
  <si>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</si>
  <si>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</si>
  <si>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</si>
  <si>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</si>
  <si>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</si>
  <si>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</si>
  <si>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</si>
  <si>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</si>
  <si>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</si>
  <si>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</si>
  <si>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</si>
  <si>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</si>
  <si>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</si>
  <si>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</si>
  <si>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</si>
  <si>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</si>
  <si>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</si>
  <si>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</si>
  <si>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</si>
  <si>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</si>
  <si>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</si>
  <si>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</si>
  <si>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</si>
  <si>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</si>
  <si>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</si>
  <si>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</si>
  <si>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</si>
  <si>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</si>
  <si>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</si>
  <si>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</si>
  <si>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</si>
  <si>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</si>
  <si>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</si>
  <si>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</si>
  <si>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</si>
  <si>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</si>
  <si>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</si>
  <si>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</si>
  <si>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</si>
  <si>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</si>
  <si>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</si>
  <si>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</si>
  <si>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</si>
  <si>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</si>
  <si>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</si>
  <si>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</si>
  <si>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</si>
  <si>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</si>
  <si>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</si>
  <si>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</si>
  <si>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</si>
  <si>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</si>
  <si>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</si>
  <si>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</si>
  <si>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</si>
  <si>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</si>
  <si>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</si>
  <si>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</si>
  <si>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</si>
  <si>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</si>
  <si>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</si>
  <si>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</si>
  <si>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</si>
  <si>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</si>
  <si>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</si>
  <si>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</si>
  <si>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</si>
  <si>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</si>
  <si>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</si>
  <si>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</si>
  <si>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</si>
  <si>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</si>
  <si>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</si>
  <si>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</si>
  <si>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</si>
  <si>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</si>
  <si>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</si>
  <si>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</si>
  <si>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</si>
  <si>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</si>
  <si>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</si>
  <si>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</si>
  <si>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</si>
  <si>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</si>
  <si>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</si>
  <si>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</si>
  <si>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</si>
  <si>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</si>
  <si>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</si>
  <si>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</si>
  <si>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</si>
  <si>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</si>
  <si>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</si>
  <si>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</si>
  <si>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</si>
  <si>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</si>
  <si>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</si>
  <si>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</si>
  <si>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</si>
  <si>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</si>
  <si>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</si>
  <si>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</si>
  <si>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</si>
  <si>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</si>
  <si>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</si>
  <si>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</si>
  <si>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</si>
  <si>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</si>
  <si>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</si>
  <si>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</si>
  <si>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</si>
  <si>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</si>
  <si>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</si>
  <si>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</si>
  <si>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</si>
  <si>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</si>
  <si>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</si>
  <si>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</si>
  <si>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</si>
  <si>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</si>
  <si>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</si>
  <si>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</si>
  <si>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</si>
  <si>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</si>
  <si>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</si>
  <si>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</si>
  <si>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</si>
  <si>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</si>
  <si>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</si>
  <si>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</si>
  <si>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</si>
  <si>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</si>
  <si>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</si>
  <si>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</si>
  <si>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</si>
  <si>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</si>
  <si>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</si>
  <si>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</si>
  <si>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</si>
  <si>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</si>
  <si>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</si>
  <si>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</si>
  <si>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</si>
  <si>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</si>
  <si>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</si>
  <si>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</si>
  <si>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</si>
  <si>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</si>
  <si>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</si>
  <si>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</si>
  <si>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</si>
  <si>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</si>
  <si>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</si>
  <si>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</si>
  <si>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</si>
  <si>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</si>
  <si>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</si>
  <si>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</si>
  <si>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</si>
  <si>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</si>
  <si>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</si>
  <si>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</si>
  <si>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</si>
  <si>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</si>
  <si>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</si>
  <si>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</si>
  <si>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</si>
  <si>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</si>
  <si>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</si>
  <si>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</si>
  <si>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</si>
  <si>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</si>
  <si>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</si>
  <si>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</si>
  <si>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</si>
  <si>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</si>
  <si>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</si>
  <si>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</si>
  <si>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</si>
  <si>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</si>
  <si>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</si>
  <si>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</si>
  <si>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</si>
  <si>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</si>
  <si>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</si>
  <si>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</si>
  <si>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</si>
  <si>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</si>
  <si>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</si>
  <si>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</si>
  <si>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</si>
  <si>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</si>
  <si>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</si>
  <si>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</si>
  <si>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</si>
  <si>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</si>
  <si>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</si>
  <si>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</si>
  <si>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</si>
  <si>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</si>
  <si>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</si>
  <si>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</si>
  <si>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</si>
  <si>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</si>
  <si>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</si>
  <si>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</si>
  <si>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</si>
  <si>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</si>
  <si>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</si>
  <si>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</si>
  <si>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</si>
  <si>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</si>
  <si>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</si>
  <si>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</si>
  <si>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</si>
  <si>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</si>
  <si>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</si>
  <si>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</si>
  <si>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</si>
  <si>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</si>
  <si>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</si>
  <si>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</si>
  <si>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</si>
  <si>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</si>
  <si>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</si>
  <si>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</si>
  <si>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</si>
  <si>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</si>
  <si>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</si>
  <si>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</si>
  <si>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</si>
  <si>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</si>
  <si>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</si>
  <si>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</si>
  <si>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</si>
  <si>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</si>
  <si>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</si>
  <si>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</si>
  <si>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</si>
  <si>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</si>
  <si>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</si>
  <si>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</si>
  <si>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</si>
  <si>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</si>
  <si>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</si>
  <si>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</si>
  <si>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</si>
  <si>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</si>
  <si>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</si>
  <si>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</si>
  <si>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</si>
  <si>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</si>
  <si>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</si>
  <si>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</si>
  <si>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</si>
  <si>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</si>
  <si>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</si>
  <si>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</si>
  <si>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</si>
  <si>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</si>
  <si>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</si>
  <si>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</si>
  <si>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</si>
  <si>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</si>
  <si>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</si>
  <si>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</si>
  <si>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</si>
  <si>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</si>
  <si>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</si>
  <si>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</si>
  <si>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</si>
  <si>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</si>
  <si>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</si>
  <si>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</si>
  <si>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</si>
  <si>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</si>
  <si>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</si>
  <si>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</si>
  <si>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</si>
  <si>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</si>
  <si>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</si>
  <si>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</si>
  <si>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</si>
  <si>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</si>
  <si>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</si>
  <si>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</si>
  <si>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</si>
  <si>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</si>
  <si>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</si>
  <si>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</si>
  <si>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</si>
  <si>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</si>
  <si>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</si>
  <si>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</si>
  <si>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</si>
  <si>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</si>
  <si>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</si>
  <si>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</si>
  <si>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</si>
  <si>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</si>
  <si>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</si>
  <si>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</si>
  <si>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</si>
  <si>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</si>
  <si>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</si>
  <si>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</si>
  <si>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</si>
  <si>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</si>
  <si>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</si>
  <si>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</si>
  <si>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</si>
  <si>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</si>
  <si>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</si>
  <si>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</si>
  <si>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</si>
  <si>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</si>
  <si>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</si>
  <si>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</si>
  <si>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</si>
  <si>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</si>
  <si>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</si>
  <si>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</si>
  <si>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</si>
  <si>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</si>
  <si>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</si>
  <si>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</si>
  <si>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</si>
  <si>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</si>
  <si>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</si>
  <si>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</si>
  <si>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</si>
  <si>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</si>
  <si>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</si>
  <si>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</si>
  <si>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</si>
  <si>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</si>
  <si>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</si>
  <si>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</si>
  <si>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</si>
  <si>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</si>
  <si>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</si>
  <si>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</si>
  <si>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</si>
  <si>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</si>
  <si>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</si>
  <si>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</si>
  <si>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</si>
  <si>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</si>
  <si>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</si>
  <si>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</si>
  <si>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</si>
  <si>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</si>
  <si>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</si>
  <si>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</si>
  <si>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</si>
  <si>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</si>
  <si>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</si>
  <si>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</si>
  <si>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</si>
  <si>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</si>
  <si>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</si>
  <si>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</si>
  <si>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</si>
  <si>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</si>
  <si>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</si>
  <si>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</si>
  <si>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</si>
  <si>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</si>
  <si>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</si>
  <si>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</si>
  <si>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</si>
  <si>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</si>
  <si>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</si>
  <si>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</si>
  <si>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</si>
  <si>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</si>
  <si>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</si>
  <si>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</si>
  <si>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</si>
  <si>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</si>
  <si>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</si>
  <si>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</si>
  <si>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</si>
  <si>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</si>
  <si>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</si>
  <si>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</si>
  <si>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</si>
  <si>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</si>
  <si>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</si>
  <si>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</si>
  <si>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</si>
  <si>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</si>
  <si>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</si>
  <si>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</si>
  <si>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</si>
  <si>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</si>
  <si>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</si>
  <si>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</si>
  <si>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</si>
  <si>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</si>
  <si>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</si>
  <si>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</si>
  <si>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</si>
  <si>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</si>
  <si>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</si>
  <si>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</si>
  <si>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</si>
  <si>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</si>
  <si>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</si>
  <si>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</si>
  <si>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</si>
  <si>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</si>
  <si>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</si>
  <si>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</si>
  <si>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</si>
  <si>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</si>
  <si>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</si>
  <si>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</si>
  <si>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</si>
  <si>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</si>
  <si>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</si>
  <si>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</si>
  <si>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</si>
  <si>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</si>
  <si>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</si>
  <si>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</si>
  <si>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</si>
  <si>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</si>
  <si>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</si>
  <si>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</si>
  <si>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</si>
  <si>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</si>
  <si>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</si>
  <si>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</si>
  <si>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</si>
  <si>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</si>
  <si>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</si>
  <si>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</si>
  <si>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</si>
  <si>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</si>
  <si>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</si>
  <si>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</si>
  <si>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</si>
  <si>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</si>
  <si>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</si>
  <si>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</si>
  <si>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</si>
  <si>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</si>
  <si>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</si>
  <si>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</si>
  <si>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</si>
  <si>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</si>
  <si>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</si>
  <si>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</si>
  <si>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</si>
  <si>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</si>
  <si>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</si>
  <si>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</si>
  <si>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</si>
  <si>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</si>
  <si>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</si>
  <si>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</si>
  <si>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</si>
  <si>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</si>
  <si>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</si>
  <si>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</si>
  <si>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</si>
  <si>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</si>
  <si>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</si>
  <si>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</si>
  <si>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</si>
  <si>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</si>
  <si>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</si>
  <si>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</si>
  <si>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</si>
  <si>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</si>
  <si>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</si>
  <si>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</si>
  <si>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</si>
  <si>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</si>
  <si>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</si>
  <si>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</si>
  <si>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</si>
  <si>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</si>
  <si>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</si>
  <si>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</si>
  <si>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</si>
  <si>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</si>
  <si>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</si>
  <si>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</si>
  <si>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</si>
  <si>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</si>
  <si>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</si>
  <si>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</si>
  <si>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</si>
  <si>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</si>
  <si>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</si>
  <si>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</si>
  <si>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</si>
  <si>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</si>
  <si>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</si>
  <si>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</si>
  <si>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</si>
  <si>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</si>
  <si>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</si>
  <si>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</si>
  <si>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</si>
  <si>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</si>
  <si>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</si>
  <si>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</si>
  <si>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</si>
  <si>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</si>
  <si>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</si>
  <si>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</si>
  <si>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</si>
  <si>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</si>
  <si>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</si>
  <si>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</si>
  <si>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</si>
  <si>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</si>
  <si>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</si>
  <si>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</si>
  <si>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</si>
  <si>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</si>
  <si>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</si>
  <si>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</si>
  <si>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</si>
  <si>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</si>
  <si>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</si>
  <si>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</si>
  <si>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</si>
  <si>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</si>
  <si>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</si>
  <si>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</si>
  <si>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</si>
  <si>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</si>
  <si>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</si>
  <si>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</si>
  <si>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</si>
  <si>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</si>
  <si>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</si>
  <si>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</si>
  <si>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</si>
  <si>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</si>
  <si>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</si>
  <si>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</si>
  <si>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</si>
  <si>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</si>
  <si>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</si>
  <si>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</si>
  <si>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</si>
  <si>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</si>
  <si>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</si>
  <si>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</si>
  <si>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</si>
  <si>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</si>
  <si>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</si>
  <si>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</si>
  <si>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</si>
  <si>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</si>
  <si>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</si>
  <si>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</si>
  <si>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</si>
  <si>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</si>
  <si>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</si>
  <si>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</si>
  <si>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</si>
  <si>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</si>
  <si>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</si>
  <si>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</si>
  <si>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</si>
  <si>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</si>
  <si>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</si>
  <si>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</si>
  <si>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</si>
  <si>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</si>
  <si>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</si>
  <si>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</si>
  <si>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</si>
  <si>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</si>
  <si>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</si>
  <si>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</si>
  <si>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</si>
  <si>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</si>
  <si>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</si>
  <si>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</si>
  <si>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</si>
  <si>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</si>
  <si>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</si>
  <si>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</si>
  <si>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</si>
  <si>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</si>
  <si>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</si>
  <si>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</si>
  <si>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</si>
  <si>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</si>
  <si>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</si>
  <si>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</si>
  <si>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</si>
  <si>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</si>
  <si>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</si>
  <si>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</si>
  <si>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</si>
  <si>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</si>
  <si>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</si>
  <si>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</si>
  <si>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</si>
  <si>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</si>
  <si>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</si>
  <si>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</si>
  <si>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</si>
  <si>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</si>
  <si>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</si>
  <si>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</si>
  <si>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</si>
  <si>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</si>
  <si>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</si>
  <si>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</si>
  <si>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</si>
  <si>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</si>
  <si>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</si>
  <si>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</si>
  <si>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</si>
  <si>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</si>
  <si>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</si>
  <si>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</si>
  <si>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</si>
  <si>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</si>
  <si>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</si>
  <si>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</si>
  <si>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</si>
  <si>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</si>
  <si>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</si>
  <si>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</si>
  <si>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</si>
  <si>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</si>
  <si>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</si>
  <si>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</si>
  <si>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</si>
  <si>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</si>
  <si>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</si>
  <si>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</si>
  <si>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</si>
  <si>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</si>
  <si>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</si>
  <si>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</si>
  <si>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</si>
  <si>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</si>
  <si>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</si>
  <si>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</si>
  <si>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</si>
  <si>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</si>
  <si>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</si>
  <si>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</si>
  <si>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</si>
  <si>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</si>
  <si>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</si>
  <si>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</si>
  <si>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</si>
  <si>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</si>
  <si>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</si>
  <si>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</si>
  <si>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</si>
  <si>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</si>
  <si>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</si>
  <si>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</si>
  <si>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</si>
  <si>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</si>
  <si>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</si>
  <si>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</si>
  <si>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</si>
  <si>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</si>
  <si>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</si>
  <si>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</si>
  <si>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</si>
  <si>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</si>
  <si>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</si>
  <si>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</si>
  <si>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</si>
  <si>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</si>
  <si>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</si>
  <si>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</si>
  <si>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</si>
  <si>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</si>
  <si>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</si>
  <si>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</si>
  <si>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</si>
  <si>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</si>
  <si>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</si>
  <si>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</si>
  <si>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</si>
  <si>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</si>
  <si>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</si>
  <si>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</si>
  <si>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</si>
  <si>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</si>
  <si>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</si>
  <si>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</si>
  <si>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</si>
  <si>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</si>
  <si>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</si>
  <si>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</si>
  <si>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</si>
  <si>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</si>
  <si>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</si>
  <si>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</si>
  <si>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</si>
  <si>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</si>
  <si>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</si>
  <si>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</si>
  <si>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</si>
  <si>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</si>
  <si>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</si>
  <si>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</si>
  <si>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</si>
  <si>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</si>
  <si>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</si>
  <si>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</si>
  <si>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</si>
  <si>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</si>
  <si>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</si>
  <si>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</si>
  <si>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</si>
  <si>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</si>
  <si>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</si>
  <si>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</si>
  <si>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</si>
  <si>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</si>
  <si>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</si>
  <si>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</si>
  <si>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17-12-2025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</si>
  <si>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</si>
  <si>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</si>
  <si>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</si>
  <si>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</si>
  <si>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</si>
  <si>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</si>
  <si>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</si>
  <si>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</si>
  <si>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</si>
  <si>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</si>
  <si>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</si>
  <si>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</si>
  <si>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</si>
  <si>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</si>
  <si>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</si>
  <si>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</si>
  <si>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</si>
  <si>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</si>
  <si>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</si>
  <si>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</si>
  <si>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</si>
  <si>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</si>
  <si>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</si>
  <si>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</si>
  <si>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</si>
  <si>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</si>
  <si>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</si>
  <si>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</si>
  <si>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</si>
  <si>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</si>
  <si>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</si>
  <si>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</si>
  <si>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</si>
  <si>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</si>
  <si>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</si>
  <si>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</si>
  <si>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</si>
  <si>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</si>
  <si>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</si>
  <si>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</si>
  <si>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</si>
  <si>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</si>
  <si>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</si>
  <si>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</si>
  <si>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</si>
  <si>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</si>
  <si>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</si>
  <si>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</si>
  <si>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</si>
  <si>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</si>
  <si>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</si>
  <si>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</si>
  <si>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</si>
  <si>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</si>
  <si>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</si>
  <si>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</si>
  <si>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</si>
  <si>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</si>
  <si>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</si>
  <si>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</si>
  <si>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</si>
  <si>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</si>
  <si>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</si>
  <si>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</si>
  <si>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</si>
  <si>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</si>
  <si>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</si>
  <si>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</si>
  <si>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</si>
  <si>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</si>
  <si>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</si>
  <si>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</si>
  <si>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</si>
  <si>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</si>
  <si>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</si>
  <si>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</si>
  <si>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</si>
  <si>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</si>
  <si>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</si>
  <si>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</si>
  <si>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</si>
  <si>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</si>
  <si>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</si>
  <si>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</si>
  <si>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</si>
  <si>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</si>
  <si>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</si>
  <si>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</si>
  <si>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</si>
  <si>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</si>
  <si>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</si>
  <si>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</si>
  <si>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</si>
  <si>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</si>
  <si>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</si>
  <si>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</si>
  <si>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</si>
  <si>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</si>
  <si>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</si>
  <si>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</si>
  <si>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</si>
  <si>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</si>
  <si>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</si>
  <si>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</si>
  <si>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</si>
  <si>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</si>
  <si>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</si>
  <si>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</si>
  <si>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</si>
  <si>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</si>
  <si>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</si>
  <si>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</si>
  <si>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</si>
  <si>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</si>
  <si>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</si>
  <si>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</si>
  <si>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</si>
  <si>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</si>
  <si>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</si>
  <si>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</si>
  <si>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</si>
  <si>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</si>
  <si>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</si>
  <si>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</si>
  <si>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</si>
  <si>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</si>
  <si>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</si>
  <si>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</si>
  <si>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</si>
  <si>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</si>
  <si>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</si>
  <si>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</si>
  <si>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</si>
  <si>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</si>
  <si>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</si>
  <si>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</si>
  <si>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</si>
  <si>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</si>
  <si>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</si>
  <si>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</si>
  <si>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</si>
  <si>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</si>
  <si>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</si>
  <si>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</si>
  <si>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</si>
  <si>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</si>
  <si>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</si>
  <si>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</si>
  <si>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</si>
  <si>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</si>
  <si>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</si>
  <si>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</si>
  <si>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</si>
  <si>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</si>
  <si>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</si>
  <si>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</si>
  <si>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</si>
  <si>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</si>
  <si>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</si>
  <si>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</si>
  <si>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</si>
  <si>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</si>
  <si>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</si>
  <si>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</si>
  <si>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</si>
  <si>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</si>
  <si>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</si>
  <si>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</si>
  <si>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</si>
  <si>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</si>
  <si>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</si>
  <si>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</si>
  <si>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</si>
  <si>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</si>
  <si>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</si>
  <si>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</si>
  <si>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</si>
  <si>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</si>
  <si>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</si>
  <si>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</si>
  <si>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</si>
  <si>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</si>
  <si>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</si>
  <si>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</si>
  <si>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</si>
  <si>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</si>
  <si>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</si>
  <si>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</si>
  <si>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</si>
  <si>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</si>
  <si>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</si>
  <si>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</si>
  <si>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</si>
  <si>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</si>
  <si>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</si>
  <si>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</si>
  <si>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</si>
  <si>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</si>
  <si>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</si>
  <si>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</si>
  <si>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</si>
  <si>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</si>
  <si>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</si>
  <si>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</si>
  <si>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</si>
  <si>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</si>
  <si>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</si>
  <si>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</si>
  <si>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</si>
  <si>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</si>
  <si>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</si>
  <si>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</si>
  <si>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</si>
  <si>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</si>
  <si>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</si>
  <si>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</si>
  <si>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</si>
  <si>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</si>
  <si>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</si>
  <si>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</si>
  <si>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</si>
  <si>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</si>
  <si>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</si>
  <si>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</si>
  <si>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</si>
  <si>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</si>
  <si>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</si>
  <si>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</si>
  <si>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</si>
  <si>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</si>
  <si>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</si>
  <si>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</si>
  <si>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</si>
  <si>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</si>
  <si>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</si>
  <si>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</si>
  <si>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</si>
  <si>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</si>
  <si>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</si>
  <si>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</si>
  <si>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</si>
  <si>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</si>
  <si>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</si>
  <si>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</si>
  <si>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</si>
  <si>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</si>
  <si>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</si>
  <si>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</si>
  <si>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</si>
  <si>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</si>
  <si>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</si>
  <si>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</si>
  <si>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</si>
  <si>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</si>
  <si>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</si>
  <si>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</si>
  <si>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</si>
  <si>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</si>
  <si>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</si>
  <si>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</si>
  <si>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</si>
  <si>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</si>
  <si>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</si>
  <si>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</si>
  <si>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</si>
  <si>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</si>
  <si>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</si>
  <si>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</si>
  <si>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</si>
  <si>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</si>
  <si>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</si>
  <si>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</si>
  <si>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</si>
  <si>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</si>
  <si>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</si>
  <si>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</si>
  <si>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</si>
  <si>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</si>
  <si>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</si>
  <si>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</si>
  <si>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</si>
  <si>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</si>
  <si>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</si>
  <si>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</si>
  <si>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</si>
  <si>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</si>
  <si>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</si>
  <si>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</si>
  <si>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</si>
  <si>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</si>
  <si>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</si>
  <si>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</si>
  <si>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</si>
  <si>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</si>
  <si>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</si>
  <si>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</si>
  <si>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</si>
  <si>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</si>
  <si>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</si>
  <si>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</si>
  <si>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</si>
  <si>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</si>
  <si>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</si>
  <si>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</si>
  <si>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</si>
  <si>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</si>
  <si>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</si>
  <si>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</si>
  <si>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</si>
  <si>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</si>
  <si>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</si>
  <si>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</si>
  <si>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</si>
  <si>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</si>
  <si>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</si>
  <si>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</si>
  <si>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</si>
  <si>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</si>
  <si>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</si>
  <si>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</si>
  <si>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</si>
  <si>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</si>
  <si>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</si>
  <si>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</si>
  <si>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</si>
  <si>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</si>
  <si>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</si>
  <si>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</si>
  <si>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</si>
  <si>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</si>
  <si>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</si>
  <si>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</si>
  <si>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</si>
  <si>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</si>
  <si>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</si>
  <si>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</si>
  <si>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</si>
  <si>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</si>
  <si>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</si>
  <si>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</si>
  <si>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</si>
  <si>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</si>
  <si>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</si>
  <si>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</si>
  <si>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</si>
  <si>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</si>
  <si>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</si>
  <si>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</si>
  <si>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</si>
  <si>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</si>
  <si>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</si>
  <si>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</si>
  <si>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</si>
  <si>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</si>
  <si>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</si>
  <si>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</si>
  <si>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</si>
  <si>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</si>
  <si>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</si>
  <si>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</si>
  <si>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</si>
  <si>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</si>
  <si>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31.12.2028</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</si>
  <si>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</si>
  <si>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</si>
  <si>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</si>
  <si>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</si>
  <si>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</si>
  <si>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31.12.2027</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</si>
  <si>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</si>
  <si>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</si>
  <si>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</si>
  <si>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</si>
  <si>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</si>
  <si>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</si>
  <si>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7528386415</t>
  </si>
  <si>
    <t>О внесении изменений в приказ министерства жилищно-коммунального хозяйства Сахалинской области от 08.06.2023 № 1-3.10-291/23 "Об утверждении инвестиционной программы МУП "Невельские коммунальные сети" в сфере теплоснабжения на 2024-2026 гг."</t>
  </si>
  <si>
    <t>24.05.2024</t>
  </si>
  <si>
    <t>об утверждении инвестиционной программы МУП "Невельские коммунальные сети" в сфере теплоснабжения на 2024 - 2026 гг.</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</si>
  <si>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</si>
  <si>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</si>
  <si>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</si>
  <si>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</si>
  <si>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</si>
  <si>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</si>
  <si>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</si>
  <si>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</si>
  <si>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</si>
  <si>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</si>
  <si>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</si>
  <si>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</si>
  <si>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</si>
  <si>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</si>
  <si>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</si>
  <si>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</si>
  <si>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</si>
  <si>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</si>
  <si>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</si>
  <si>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</si>
  <si>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</si>
  <si>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</si>
  <si>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</si>
  <si>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</si>
  <si>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</si>
  <si>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</si>
  <si>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</si>
  <si>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</si>
  <si>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</si>
  <si>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</si>
  <si>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</si>
  <si>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</si>
  <si>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</si>
  <si>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</si>
  <si>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Котельная "Приморская"</t>
  </si>
  <si>
    <t>ул. Приморская</t>
  </si>
  <si>
    <t>муниципальное имущество</t>
  </si>
  <si>
    <t>хозяйственное ведение</t>
  </si>
  <si>
    <t>эксплуатируется</t>
  </si>
  <si>
    <t>договор</t>
  </si>
  <si>
    <t>1/13</t>
  </si>
  <si>
    <t>01.01.2013</t>
  </si>
  <si>
    <t>.228</t>
  </si>
  <si>
    <t>.134</t>
  </si>
  <si>
    <t>.23</t>
  </si>
  <si>
    <t>.12</t>
  </si>
  <si>
    <t>[Уголь бурый]</t>
  </si>
  <si>
    <t>ул. Лесная</t>
  </si>
  <si>
    <t>4.856</t>
  </si>
  <si>
    <t>44.4</t>
  </si>
  <si>
    <t>18.764</t>
  </si>
  <si>
    <t>25.14</t>
  </si>
  <si>
    <t>[Мазут М-40] :: [Газ сжиженный]</t>
  </si>
  <si>
    <t>с Горнозаводск</t>
  </si>
  <si>
    <t>64728000141</t>
  </si>
  <si>
    <t>ул. Кирпичная</t>
  </si>
  <si>
    <t>2.15</t>
  </si>
  <si>
    <t>.491</t>
  </si>
  <si>
    <t>2.23</t>
  </si>
  <si>
    <t>ул. Шахтовая</t>
  </si>
  <si>
    <t>10.32</t>
  </si>
  <si>
    <t>6.801</t>
  </si>
  <si>
    <t>с Шебунино</t>
  </si>
  <si>
    <t>64728000151</t>
  </si>
  <si>
    <t>ул. Горная</t>
  </si>
  <si>
    <t>1.711</t>
  </si>
  <si>
    <t>64528000001</t>
  </si>
  <si>
    <t>64528000141</t>
  </si>
  <si>
    <t>64528000151</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</si>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</sst>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11"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12" fontId="0" fillId="36" borderId="13" xfId="0" applyFont="1" applyFill="1" applyBorder="1" applyNumberFormat="1">
      <alignment horizontal="left" vertical="center" wrapText="1"/>
      <protection locked="0"/>
    </xf>
    <xf numFmtId="212"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5" borderId="17" xfId="0" applyFont="1" applyFill="1" applyBorder="1" applyNumberFormat="1">
      <alignment horizontal="left" vertical="center" wrapText="1" inden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60e5ede0-2b6a-42a7-b526-953a63e96968" TargetMode="External"/><Relationship Id="rId2" Type="http://schemas.openxmlformats.org/officeDocument/2006/relationships/hyperlink" Target="https://portal.eias.ru/Portal/DownloadPage.aspx?type=12&amp;guid=60e5ede0-2b6a-42a7-b526-953a63e96968" TargetMode="External"/><Relationship Id="rId3" Type="http://schemas.openxmlformats.org/officeDocument/2006/relationships/hyperlink" Target="https://portal.eias.ru/Portal/DownloadPage.aspx?type=12&amp;guid=60e5ede0-2b6a-42a7-b526-953a63e96968" TargetMode="External"/><Relationship Id="rId4" Type="http://schemas.openxmlformats.org/officeDocument/2006/relationships/hyperlink" Target="https://portal.eias.ru/Portal/DownloadPage.aspx?type=12&amp;guid=383865ae-dadf-4404-a626-195b106f8db5" TargetMode="External"/><Relationship Id="rId5" Type="http://schemas.openxmlformats.org/officeDocument/2006/relationships/hyperlink" Target="https://portal.eias.ru/Portal/DownloadPage.aspx?type=12&amp;guid=383865ae-dadf-4404-a626-195b106f8db5" TargetMode="External"/><Relationship Id="rId6" Type="http://schemas.openxmlformats.org/officeDocument/2006/relationships/hyperlink" Target="https://portal.eias.ru/Portal/DownloadPage.aspx?type=12&amp;guid=383865ae-dadf-4404-a626-195b106f8db5" TargetMode="External"/><Relationship Id="rId7" Type="http://schemas.openxmlformats.org/officeDocument/2006/relationships/hyperlink" Target="https://portal.eias.ru/Portal/DownloadPage.aspx?type=12&amp;guid=383865ae-dadf-4404-a626-195b106f8db5" TargetMode="External"/><Relationship Id="rId8" Type="http://schemas.openxmlformats.org/officeDocument/2006/relationships/hyperlink" Target="https://portal.eias.ru/Portal/DownloadPage.aspx?type=12&amp;guid=383865ae-dadf-4404-a626-195b106f8db5" TargetMode="External"/><Relationship Id="rId9" Type="http://schemas.openxmlformats.org/officeDocument/2006/relationships/hyperlink" Target="https://portal.eias.ru/Portal/DownloadPage.aspx?type=12&amp;guid=383865ae-dadf-4404-a626-195b106f8db5" TargetMode="External"/><Relationship Id="rId10" Type="http://schemas.openxmlformats.org/officeDocument/2006/relationships/hyperlink" Target="https://portal.eias.ru/Portal/DownloadPage.aspx?type=12&amp;guid=383865ae-dadf-4404-a626-195b106f8db5" TargetMode="External"/><Relationship Id="rId11" Type="http://schemas.openxmlformats.org/officeDocument/2006/relationships/hyperlink" Target="https://portal.eias.ru/Portal/DownloadPage.aspx?type=12&amp;guid=383865ae-dadf-4404-a626-195b106f8db5" TargetMode="External"/><Relationship Id="rId12" Type="http://schemas.openxmlformats.org/officeDocument/2006/relationships/hyperlink" Target="https://portal.eias.ru/Portal/DownloadPage.aspx?type=12&amp;guid=383865ae-dadf-4404-a626-195b106f8db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468F8-4A77-AE38-32AB-0B1A32D16F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096" t="s">
        <v>1</v>
      </c>
      <c r="C2" s="2096"/>
      <c r="D2" s="2096"/>
      <c r="E2" s="2096"/>
      <c r="F2" s="2096"/>
      <c r="G2" s="2096"/>
      <c r="H2" s="2096"/>
      <c r="I2" s="2096"/>
      <c r="J2" s="2096"/>
      <c r="K2" s="2096"/>
      <c r="L2" s="2096"/>
      <c r="M2" s="2096"/>
      <c r="N2" s="2096"/>
      <c r="O2" s="2096"/>
      <c r="P2" s="2096"/>
      <c r="Q2" s="1704"/>
      <c r="R2" s="1704"/>
      <c r="S2" s="1704"/>
      <c r="T2" s="1704"/>
      <c r="U2" s="1704"/>
      <c r="V2" s="1705"/>
      <c r="W2" s="1704"/>
      <c r="X2" s="1704"/>
      <c r="Y2" s="1701"/>
      <c r="Z2" s="1700"/>
      <c r="AA2" s="1702"/>
      <c r="AB2" s="1700"/>
    </row>
    <row customHeight="1" ht="15.75">
      <c r="A3" s="1700"/>
      <c r="B3" s="2097" t="s">
        <v>2</v>
      </c>
      <c r="C3" s="2097"/>
      <c r="D3" s="2097"/>
      <c r="E3" s="2097"/>
      <c r="F3" s="2097"/>
      <c r="G3" s="2097"/>
      <c r="H3" s="2097"/>
      <c r="I3" s="2097"/>
      <c r="J3" s="2097"/>
      <c r="K3" s="2097"/>
      <c r="L3" s="2097"/>
      <c r="M3" s="2097"/>
      <c r="N3" s="2097"/>
      <c r="O3" s="2097"/>
      <c r="P3" s="2097"/>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07"/>
      <c r="AA5" s="1702"/>
      <c r="AB5" s="1707"/>
    </row>
    <row customHeight="1" ht="15">
      <c r="A6" s="1708"/>
      <c r="B6" s="2101" t="s">
        <v>3</v>
      </c>
      <c r="C6" s="2102"/>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1"/>
      <c r="C7" s="2102"/>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1"/>
      <c r="C8" s="2102"/>
      <c r="D8" s="1714"/>
      <c r="E8" s="1715" t="s">
        <v>4</v>
      </c>
      <c r="F8" s="2104" t="s">
        <v>5</v>
      </c>
      <c r="G8" s="2105"/>
      <c r="H8" s="2105"/>
      <c r="I8" s="2105"/>
      <c r="J8" s="2105"/>
      <c r="K8" s="2105"/>
      <c r="L8" s="2105"/>
      <c r="M8" s="2105"/>
      <c r="N8" s="1714"/>
      <c r="O8" s="1716" t="s">
        <v>4</v>
      </c>
      <c r="P8" s="2106" t="s">
        <v>6</v>
      </c>
      <c r="Q8" s="2107"/>
      <c r="R8" s="2107"/>
      <c r="S8" s="2107"/>
      <c r="T8" s="2107"/>
      <c r="U8" s="2107"/>
      <c r="V8" s="2107"/>
      <c r="W8" s="2107"/>
      <c r="X8" s="2107"/>
      <c r="Y8" s="1710"/>
      <c r="Z8" s="1711"/>
      <c r="AA8" s="1712"/>
      <c r="AB8" s="1712"/>
    </row>
    <row customHeight="1" ht="15">
      <c r="A9" s="1708"/>
      <c r="B9" s="2101"/>
      <c r="C9" s="2102"/>
      <c r="D9" s="1714"/>
      <c r="E9" s="1717" t="s">
        <v>4</v>
      </c>
      <c r="F9" s="2104" t="s">
        <v>7</v>
      </c>
      <c r="G9" s="2105"/>
      <c r="H9" s="2105"/>
      <c r="I9" s="2105"/>
      <c r="J9" s="2105"/>
      <c r="K9" s="2105"/>
      <c r="L9" s="2105"/>
      <c r="M9" s="2105"/>
      <c r="N9" s="1714"/>
      <c r="O9" s="1718" t="s">
        <v>4</v>
      </c>
      <c r="P9" s="2106" t="s">
        <v>8</v>
      </c>
      <c r="Q9" s="2107"/>
      <c r="R9" s="2107"/>
      <c r="S9" s="2107"/>
      <c r="T9" s="2107"/>
      <c r="U9" s="2107"/>
      <c r="V9" s="2107"/>
      <c r="W9" s="2107"/>
      <c r="X9" s="2107"/>
      <c r="Y9" s="1710"/>
      <c r="Z9" s="1711"/>
      <c r="AA9" s="1712"/>
      <c r="AB9" s="1712"/>
    </row>
    <row customHeight="1" ht="30">
      <c r="A10" s="1708"/>
      <c r="B10" s="2101"/>
      <c r="C10" s="2103"/>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108" t="s">
        <v>9</v>
      </c>
      <c r="C11" s="210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1"/>
      <c r="C12" s="2103"/>
      <c r="D12" s="172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0"/>
      <c r="Z12" s="1711"/>
      <c r="AA12" s="1712"/>
      <c r="AB12" s="1712"/>
    </row>
    <row customHeight="1" ht="15">
      <c r="A13" s="1708"/>
      <c r="B13" s="2108" t="s">
        <v>11</v>
      </c>
      <c r="C13" s="210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1"/>
      <c r="C14" s="2102"/>
      <c r="D14" s="171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0"/>
      <c r="Z14" s="1711"/>
      <c r="AA14" s="1712"/>
      <c r="AB14" s="1712"/>
    </row>
    <row customHeight="1" ht="16.5">
      <c r="A15" s="1708"/>
      <c r="B15" s="2110"/>
      <c r="C15" s="2111"/>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1DD27-BA88-66E8-5403-F3527A3C3DC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7" t="s">
        <v>393</v>
      </c>
      <c r="F4" s="2257"/>
      <c r="G4" s="2258"/>
      <c r="H4" s="2258"/>
      <c r="I4" s="2259"/>
      <c r="J4" s="491"/>
      <c r="K4" s="453"/>
      <c r="L4" s="453"/>
      <c r="W4" s="447">
        <v>22</v>
      </c>
    </row>
    <row s="1635" customFormat="1" customHeight="1" ht="18">
      <c r="A5" s="759"/>
      <c r="D5" s="822"/>
      <c r="E5" s="2233" t="str">
        <f>IF(org=0,"Не определено",org)</f>
        <v>Муниципальное унитарное предприятие "Невельские коммунальные сети"</v>
      </c>
      <c r="F5" s="2233"/>
      <c r="G5" s="2234"/>
      <c r="H5" s="2234"/>
      <c r="I5" s="2235"/>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7" t="s">
        <v>305</v>
      </c>
      <c r="F7" s="2227"/>
      <c r="G7" s="2228"/>
      <c r="H7" s="2228"/>
      <c r="I7" s="2228"/>
      <c r="J7" s="2228"/>
      <c r="K7" s="2228"/>
      <c r="L7" s="2242" t="s">
        <v>306</v>
      </c>
      <c r="W7" s="447">
        <v>14</v>
      </c>
    </row>
    <row customHeight="1" ht="48.29999999999999">
      <c r="D8" s="450"/>
      <c r="E8" s="473" t="s">
        <v>89</v>
      </c>
      <c r="F8" s="823"/>
      <c r="G8" s="465" t="s">
        <v>87</v>
      </c>
      <c r="H8" s="465" t="s">
        <v>88</v>
      </c>
      <c r="I8" s="414" t="s">
        <v>86</v>
      </c>
      <c r="J8" s="414" t="s">
        <v>394</v>
      </c>
      <c r="K8" s="414" t="s">
        <v>395</v>
      </c>
      <c r="L8" s="2242"/>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0" t="s">
        <v>396</v>
      </c>
      <c r="M10" s="507"/>
      <c r="N10" s="505"/>
      <c r="O10" s="505"/>
      <c r="P10" s="505"/>
      <c r="Q10" s="505"/>
      <c r="R10" s="505"/>
      <c r="S10" s="505"/>
      <c r="T10" s="505"/>
      <c r="U10" s="505"/>
      <c r="V10" s="505"/>
      <c r="W10" s="447">
        <v>0</v>
      </c>
    </row>
    <row customHeight="1" ht="15" hidden="1">
      <c r="A11" s="2118"/>
      <c r="B11" s="504"/>
      <c r="C11" s="504"/>
      <c r="D11" s="865"/>
      <c r="E11" s="513"/>
      <c r="F11" s="513"/>
      <c r="G11" s="513"/>
      <c r="H11" s="513"/>
      <c r="I11" s="514"/>
      <c r="J11" s="515"/>
      <c r="K11" s="713"/>
      <c r="L11" s="2260"/>
      <c r="M11" s="511"/>
      <c r="N11" s="511"/>
      <c r="O11" s="511"/>
      <c r="P11" s="516"/>
      <c r="Q11" s="516"/>
      <c r="R11" s="517"/>
      <c r="S11" s="511"/>
      <c r="T11" s="511"/>
      <c r="U11" s="511"/>
      <c r="V11" s="511"/>
      <c r="W11" s="447">
        <v>0</v>
      </c>
    </row>
    <row s="1612" customFormat="1" customHeight="1" ht="15">
      <c r="A12" s="2118"/>
      <c r="B12" s="504"/>
      <c r="C12" s="504"/>
      <c r="D12" s="866"/>
      <c r="E12" s="823">
        <v>1</v>
      </c>
      <c r="F12" s="864">
        <v>23</v>
      </c>
      <c r="G12" s="863"/>
      <c r="H12" s="793"/>
      <c r="I12" s="791"/>
      <c r="J12" s="520" t="s">
        <v>66</v>
      </c>
      <c r="K12" s="1164" t="s">
        <v>22</v>
      </c>
      <c r="L12" s="2260"/>
      <c r="M12" s="511"/>
      <c r="N12" s="511"/>
      <c r="O12" s="511"/>
      <c r="P12" s="516" t="s">
        <v>397</v>
      </c>
      <c r="Q12" s="516" t="s">
        <v>398</v>
      </c>
      <c r="R12" s="517" t="s">
        <v>399</v>
      </c>
      <c r="S12" s="511" t="s">
        <v>400</v>
      </c>
      <c r="T12" s="511"/>
      <c r="U12" s="511"/>
      <c r="V12" s="511"/>
      <c r="W12" s="480">
        <v>14</v>
      </c>
    </row>
    <row customHeight="1" ht="15.75">
      <c r="A13" s="2118"/>
      <c r="B13" s="505"/>
      <c r="D13" s="506"/>
      <c r="E13" s="405"/>
      <c r="F13" s="529"/>
      <c r="G13" s="416" t="s">
        <v>103</v>
      </c>
      <c r="H13" s="404"/>
      <c r="I13" s="404"/>
      <c r="J13" s="404"/>
      <c r="K13" s="403"/>
      <c r="L13" s="2241"/>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0AF78-A798-7558-C3E6-2E3185B81D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09">
        <f>INDEX(PT_DIFFERENTIATION_NUM_NTAR,MATCH(A2,PT_DIFFERENTIATION_NTAR_ID,0))</f>
      </c>
      <c r="T2" s="298" t="s">
        <v>130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401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04"/>
      <c r="Q3" s="352"/>
      <c r="R3" s="353"/>
      <c r="S3" s="1309">
        <f>INDEX(PT_DIFFERENTIATION_NUM_TER,MATCH(B3,PT_DIFFERENTIATION_TER_ID,0))</f>
      </c>
      <c r="T3" s="308" t="s">
        <v>402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09">
        <f>INDEX(PT_DIFFERENTIATION_NUM_CS,MATCH(C4,PT_DIFFERENTIATION_CS_ID,0))</f>
      </c>
      <c r="T4" s="309" t="s">
        <v>404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09">
        <f>INDEX(PT_DIFFERENTIATION_NUM_IST_TE,MATCH(D5,PT_DIFFERENTIATION_IST_TE_ID,0))</f>
      </c>
      <c r="T5" s="310" t="s">
        <v>406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407</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408</v>
      </c>
      <c r="M6" s="537"/>
      <c r="P6" s="2276">
        <v>1</v>
      </c>
      <c r="Q6" s="1305"/>
      <c r="R6" s="356"/>
      <c r="S6" s="1309">
        <f>$I6</f>
      </c>
      <c r="T6" s="285" t="s">
        <v>409</v>
      </c>
      <c r="U6" s="300"/>
      <c r="V6" s="2264"/>
      <c r="W6" s="2265"/>
      <c r="X6" s="2265"/>
      <c r="Y6" s="2265"/>
      <c r="Z6" s="2265"/>
      <c r="AA6" s="2265"/>
      <c r="AB6" s="2265"/>
      <c r="AC6" s="2266"/>
      <c r="AD6" s="2264"/>
      <c r="AE6" s="2265"/>
      <c r="AF6" s="2265"/>
      <c r="AG6" s="2265"/>
      <c r="AH6" s="2265"/>
      <c r="AI6" s="2265"/>
      <c r="AJ6" s="2265"/>
      <c r="AK6" s="2265"/>
      <c r="AL6" s="2266"/>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411</v>
      </c>
      <c r="M7" s="537"/>
      <c r="N7" s="1366"/>
      <c r="P7" s="2276"/>
      <c r="Q7" s="2276">
        <v>1</v>
      </c>
      <c r="R7" s="357"/>
      <c r="S7" s="1309">
        <f>$J7</f>
      </c>
      <c r="T7" s="286" t="s">
        <v>412</v>
      </c>
      <c r="U7" s="300"/>
      <c r="V7" s="2264"/>
      <c r="W7" s="2265"/>
      <c r="X7" s="2265"/>
      <c r="Y7" s="2265"/>
      <c r="Z7" s="2265"/>
      <c r="AA7" s="2265"/>
      <c r="AB7" s="2265"/>
      <c r="AC7" s="2266"/>
      <c r="AD7" s="2264"/>
      <c r="AE7" s="2265"/>
      <c r="AF7" s="2265"/>
      <c r="AG7" s="2265"/>
      <c r="AH7" s="2265"/>
      <c r="AI7" s="2265"/>
      <c r="AJ7" s="2265"/>
      <c r="AK7" s="2265"/>
      <c r="AL7" s="2266"/>
      <c r="AM7" s="1258" t="s">
        <v>413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414</v>
      </c>
      <c r="M8" s="537"/>
      <c r="N8" s="1366"/>
      <c r="O8" s="1366"/>
      <c r="P8" s="2276"/>
      <c r="Q8" s="2276"/>
      <c r="R8" s="357">
        <v>1</v>
      </c>
      <c r="S8" s="1309">
        <f>$K8</f>
      </c>
      <c r="T8" s="1347"/>
      <c r="U8" s="300"/>
      <c r="V8" s="751"/>
      <c r="W8" s="325"/>
      <c r="X8" s="751"/>
      <c r="Y8" s="1257"/>
      <c r="Z8" s="2284"/>
      <c r="AA8" s="2126" t="s">
        <v>66</v>
      </c>
      <c r="AB8" s="2284"/>
      <c r="AC8" s="2126" t="s">
        <v>66</v>
      </c>
      <c r="AD8" s="751"/>
      <c r="AE8" s="325"/>
      <c r="AF8" s="751"/>
      <c r="AG8" s="1257"/>
      <c r="AH8" s="2284"/>
      <c r="AI8" s="2126" t="s">
        <v>66</v>
      </c>
      <c r="AJ8" s="2284"/>
      <c r="AK8" s="2126" t="s">
        <v>66</v>
      </c>
      <c r="AL8" s="325"/>
      <c r="AM8" s="2272" t="s">
        <v>415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06"/>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86"/>
      <c r="AI17" s="2287" t="s">
        <v>66</v>
      </c>
      <c r="AJ17" s="2286"/>
      <c r="AK17" s="2287" t="s">
        <v>66</v>
      </c>
      <c r="AS17" s="1155">
        <v>0</v>
      </c>
    </row>
    <row customHeight="1" ht="14.25" hidden="1">
      <c r="P18" s="1311"/>
      <c r="AD18" s="1360"/>
      <c r="AE18" s="1360"/>
      <c r="AF18" s="1360"/>
      <c r="AG18" s="328" t="str">
        <f>AH17&amp;"-"&amp;AJ17</f>
        <v>-</v>
      </c>
      <c r="AH18" s="2287"/>
      <c r="AI18" s="2287"/>
      <c r="AJ18" s="2287"/>
      <c r="AK18" s="2287"/>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306</v>
      </c>
      <c r="AS38" s="1155">
        <v>14</v>
      </c>
    </row>
    <row customHeight="1" ht="14.699999999999998">
      <c r="Q39" s="376"/>
      <c r="R39" s="376"/>
      <c r="S39" s="2292" t="s">
        <v>89</v>
      </c>
      <c r="T39" s="2228" t="s">
        <v>429</v>
      </c>
      <c r="U39" s="301"/>
      <c r="V39" s="2293" t="s">
        <v>430</v>
      </c>
      <c r="W39" s="2294"/>
      <c r="X39" s="2294"/>
      <c r="Y39" s="2294"/>
      <c r="Z39" s="2294"/>
      <c r="AA39" s="2294"/>
      <c r="AB39" s="2295"/>
      <c r="AC39" s="2296" t="s">
        <v>431</v>
      </c>
      <c r="AD39" s="2293" t="s">
        <v>430</v>
      </c>
      <c r="AE39" s="2294"/>
      <c r="AF39" s="2294"/>
      <c r="AG39" s="2294"/>
      <c r="AH39" s="2294"/>
      <c r="AI39" s="2294"/>
      <c r="AJ39" s="2295"/>
      <c r="AK39" s="2296" t="s">
        <v>432</v>
      </c>
      <c r="AL39" s="2299" t="s">
        <v>433</v>
      </c>
      <c r="AM39" s="2146"/>
      <c r="AS39" s="1155">
        <v>14</v>
      </c>
    </row>
    <row customHeight="1" ht="35.699999999999996">
      <c r="Q40" s="376"/>
      <c r="R40" s="376"/>
      <c r="S40" s="2292"/>
      <c r="T40" s="2228"/>
      <c r="U40" s="1031"/>
      <c r="V40" s="2279" t="s">
        <v>434</v>
      </c>
      <c r="W40" s="2633" t="s">
        <v>435</v>
      </c>
      <c r="X40" s="2281" t="s">
        <v>436</v>
      </c>
      <c r="Y40" s="2282"/>
      <c r="Z40" s="2281" t="s">
        <v>437</v>
      </c>
      <c r="AA40" s="2288"/>
      <c r="AB40" s="2282"/>
      <c r="AC40" s="2297"/>
      <c r="AD40" s="2279" t="s">
        <v>434</v>
      </c>
      <c r="AE40" s="2302" t="s">
        <v>435</v>
      </c>
      <c r="AF40" s="2281" t="s">
        <v>436</v>
      </c>
      <c r="AG40" s="2282"/>
      <c r="AH40" s="2281" t="s">
        <v>437</v>
      </c>
      <c r="AI40" s="2288"/>
      <c r="AJ40" s="2282"/>
      <c r="AK40" s="2297"/>
      <c r="AL40" s="2300"/>
      <c r="AM40" s="2146"/>
      <c r="AS40" s="1155">
        <v>34</v>
      </c>
    </row>
    <row customHeight="1" ht="35.699999999999996">
      <c r="A41" s="1370"/>
      <c r="B41" s="1370" t="s">
        <v>142</v>
      </c>
      <c r="C41" s="1370" t="s">
        <v>143</v>
      </c>
      <c r="D41" s="1370" t="s">
        <v>144</v>
      </c>
      <c r="E41" s="1364" t="s">
        <v>438</v>
      </c>
      <c r="F41" s="1364" t="s">
        <v>439</v>
      </c>
      <c r="G41" s="1364" t="s">
        <v>440</v>
      </c>
      <c r="H41" s="1364" t="s">
        <v>441</v>
      </c>
      <c r="I41" s="1364" t="s">
        <v>442</v>
      </c>
      <c r="J41" s="1364" t="s">
        <v>443</v>
      </c>
      <c r="K41" s="1364" t="s">
        <v>444</v>
      </c>
      <c r="L41" s="1364" t="s">
        <v>423</v>
      </c>
      <c r="Q41" s="376"/>
      <c r="R41" s="376"/>
      <c r="S41" s="2292"/>
      <c r="T41" s="2228"/>
      <c r="U41" s="302"/>
      <c r="V41" s="2280"/>
      <c r="W41" s="2303"/>
      <c r="X41" s="1222" t="s">
        <v>445</v>
      </c>
      <c r="Y41" s="1222" t="s">
        <v>446</v>
      </c>
      <c r="Z41" s="1221" t="s">
        <v>447</v>
      </c>
      <c r="AA41" s="2289" t="s">
        <v>448</v>
      </c>
      <c r="AB41" s="2290"/>
      <c r="AC41" s="2298"/>
      <c r="AD41" s="2280"/>
      <c r="AE41" s="2303"/>
      <c r="AF41" s="1222" t="s">
        <v>445</v>
      </c>
      <c r="AG41" s="1222" t="s">
        <v>446</v>
      </c>
      <c r="AH41" s="1313" t="s">
        <v>447</v>
      </c>
      <c r="AI41" s="2289" t="s">
        <v>448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163</v>
      </c>
      <c r="B43" s="1363"/>
      <c r="C43" s="1363"/>
      <c r="D43" s="1363"/>
      <c r="E43" s="2277">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163</v>
      </c>
      <c r="B44" s="1363" t="s">
        <v>164</v>
      </c>
      <c r="C44" s="1363"/>
      <c r="D44" s="1363"/>
      <c r="E44" s="2278"/>
      <c r="F44" s="2277">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403</v>
      </c>
      <c r="AO44" s="500"/>
      <c r="AP44" s="500" t="str">
        <f>IF(T44="","",T44)</f>
        <v>Территория действия тарифа</v>
      </c>
      <c r="AQ44" s="500"/>
      <c r="AR44" s="500"/>
      <c r="AS44" s="1155">
        <v>23</v>
      </c>
    </row>
    <row customHeight="1" ht="24">
      <c r="A45" s="1363" t="s">
        <v>163</v>
      </c>
      <c r="B45" s="1363" t="s">
        <v>164</v>
      </c>
      <c r="C45" s="1363" t="s">
        <v>165</v>
      </c>
      <c r="D45" s="1363"/>
      <c r="E45" s="2278"/>
      <c r="F45" s="2278"/>
      <c r="G45" s="2277">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405</v>
      </c>
      <c r="AO45" s="500"/>
      <c r="AP45" s="500" t="str">
        <f>IF(T45="","",T45)</f>
        <v>Наименование системы теплоснабжения </v>
      </c>
      <c r="AQ45" s="500"/>
      <c r="AR45" s="500"/>
      <c r="AS45" s="1155">
        <v>23</v>
      </c>
    </row>
    <row customHeight="1" ht="24">
      <c r="A46" s="1363" t="s">
        <v>163</v>
      </c>
      <c r="B46" s="1363" t="s">
        <v>164</v>
      </c>
      <c r="C46" s="1363" t="s">
        <v>165</v>
      </c>
      <c r="D46" s="1363" t="s">
        <v>166</v>
      </c>
      <c r="E46" s="2278"/>
      <c r="F46" s="2278"/>
      <c r="G46" s="2278"/>
      <c r="H46" s="2277">
        <v>1</v>
      </c>
      <c r="I46" s="1363"/>
      <c r="J46" s="1363"/>
      <c r="K46" s="1363"/>
      <c r="L46" s="1364"/>
      <c r="M46" s="1365"/>
      <c r="N46" s="1365"/>
      <c r="O46" s="1365"/>
      <c r="P46" s="354"/>
      <c r="Q46" s="352"/>
      <c r="R46" s="353"/>
      <c r="S46" s="1224" t="str">
        <f>INDEX(PT_DIFFERENTIATION_NUM_IST_TE,MATCH(D46,PT_DIFFERENTIATION_IST_TE_ID,0))</f>
        <v>...</v>
      </c>
      <c r="T46" s="310" t="s">
        <v>406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407</v>
      </c>
      <c r="AO46" s="500"/>
      <c r="AP46" s="500" t="str">
        <f>IF(T46="","",T46)</f>
        <v>Источник тепловой энергии  </v>
      </c>
      <c r="AQ46" s="500"/>
      <c r="AR46" s="500"/>
      <c r="AS46" s="1155">
        <v>23</v>
      </c>
    </row>
    <row customHeight="1" ht="49.5">
      <c r="A47" s="1363" t="s">
        <v>163</v>
      </c>
      <c r="B47" s="1363" t="s">
        <v>164</v>
      </c>
      <c r="C47" s="1363" t="s">
        <v>165</v>
      </c>
      <c r="D47" s="1363" t="s">
        <v>166</v>
      </c>
      <c r="E47" s="2278"/>
      <c r="F47" s="2278"/>
      <c r="G47" s="2278"/>
      <c r="H47" s="2278"/>
      <c r="I47" s="2275" t="str">
        <f>S46&amp;".1"</f>
        <v>....1</v>
      </c>
      <c r="J47" s="1363"/>
      <c r="K47" s="1363"/>
      <c r="L47" s="1364" t="s">
        <v>408</v>
      </c>
      <c r="P47" s="2276">
        <v>1</v>
      </c>
      <c r="Q47" s="1220"/>
      <c r="R47" s="356"/>
      <c r="S47" s="1224" t="str">
        <f>$I47</f>
        <v>....1</v>
      </c>
      <c r="T47" s="285" t="s">
        <v>409</v>
      </c>
      <c r="U47" s="300"/>
      <c r="V47" s="2264"/>
      <c r="W47" s="2265"/>
      <c r="X47" s="2265"/>
      <c r="Y47" s="2265"/>
      <c r="Z47" s="2265"/>
      <c r="AA47" s="2265"/>
      <c r="AB47" s="2265"/>
      <c r="AC47" s="2266"/>
      <c r="AD47" s="2264"/>
      <c r="AE47" s="2265"/>
      <c r="AF47" s="2265"/>
      <c r="AG47" s="2265"/>
      <c r="AH47" s="2265"/>
      <c r="AI47" s="2265"/>
      <c r="AJ47" s="2265"/>
      <c r="AK47" s="2265"/>
      <c r="AL47" s="2266"/>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163</v>
      </c>
      <c r="B48" s="1363" t="s">
        <v>164</v>
      </c>
      <c r="C48" s="1363" t="s">
        <v>165</v>
      </c>
      <c r="D48" s="1363" t="s">
        <v>166</v>
      </c>
      <c r="E48" s="2278"/>
      <c r="F48" s="2278"/>
      <c r="G48" s="2278"/>
      <c r="H48" s="2278"/>
      <c r="I48" s="2305"/>
      <c r="J48" s="2275" t="str">
        <f>I47&amp;".1"</f>
        <v>....1.1</v>
      </c>
      <c r="K48" s="1363"/>
      <c r="L48" s="1364" t="s">
        <v>411</v>
      </c>
      <c r="P48" s="2276"/>
      <c r="Q48" s="2276">
        <v>1</v>
      </c>
      <c r="R48" s="357"/>
      <c r="S48" s="1224" t="str">
        <f>$J48</f>
        <v>....1.1</v>
      </c>
      <c r="T48" s="286" t="s">
        <v>412</v>
      </c>
      <c r="U48" s="300"/>
      <c r="V48" s="2264"/>
      <c r="W48" s="2265"/>
      <c r="X48" s="2265"/>
      <c r="Y48" s="2265"/>
      <c r="Z48" s="2265"/>
      <c r="AA48" s="2265"/>
      <c r="AB48" s="2265"/>
      <c r="AC48" s="2266"/>
      <c r="AD48" s="2264"/>
      <c r="AE48" s="2265"/>
      <c r="AF48" s="2265"/>
      <c r="AG48" s="2265"/>
      <c r="AH48" s="2265"/>
      <c r="AI48" s="2265"/>
      <c r="AJ48" s="2265"/>
      <c r="AK48" s="2265"/>
      <c r="AL48" s="2266"/>
      <c r="AM48" s="1258" t="s">
        <v>413</v>
      </c>
      <c r="AO48" s="500"/>
      <c r="AP48" s="500" t="str">
        <f>IF(T48="","",T48)</f>
        <v>Группа потребителей</v>
      </c>
      <c r="AQ48" s="500"/>
      <c r="AR48" s="500"/>
      <c r="AS48" s="1155">
        <v>23</v>
      </c>
    </row>
    <row customHeight="1" ht="24">
      <c r="A49" s="1363" t="s">
        <v>163</v>
      </c>
      <c r="B49" s="1363" t="s">
        <v>164</v>
      </c>
      <c r="C49" s="1363" t="s">
        <v>165</v>
      </c>
      <c r="D49" s="1363" t="s">
        <v>166</v>
      </c>
      <c r="E49" s="2278"/>
      <c r="F49" s="2278"/>
      <c r="G49" s="2278"/>
      <c r="H49" s="2278"/>
      <c r="I49" s="2305"/>
      <c r="J49" s="2305"/>
      <c r="K49" s="2275" t="str">
        <f>J48&amp;".1"</f>
        <v>....1.1.1</v>
      </c>
      <c r="L49" s="1364" t="s">
        <v>414</v>
      </c>
      <c r="P49" s="2276"/>
      <c r="Q49" s="2276"/>
      <c r="R49" s="357">
        <v>1</v>
      </c>
      <c r="S49" s="1224" t="str">
        <f>$K49</f>
        <v>....1.1.1</v>
      </c>
      <c r="T49" s="1347"/>
      <c r="U49" s="300"/>
      <c r="V49" s="751"/>
      <c r="W49" s="325"/>
      <c r="X49" s="751"/>
      <c r="Y49" s="1257"/>
      <c r="Z49" s="2284"/>
      <c r="AA49" s="2126" t="s">
        <v>66</v>
      </c>
      <c r="AB49" s="2284"/>
      <c r="AC49" s="2126" t="s">
        <v>66</v>
      </c>
      <c r="AD49" s="751"/>
      <c r="AE49" s="325"/>
      <c r="AF49" s="751"/>
      <c r="AG49" s="1257"/>
      <c r="AH49" s="2284"/>
      <c r="AI49" s="2126" t="s">
        <v>66</v>
      </c>
      <c r="AJ49" s="2306"/>
      <c r="AK49" s="2126" t="s">
        <v>66</v>
      </c>
      <c r="AL49" s="1348"/>
      <c r="AM49" s="2272" t="s">
        <v>415</v>
      </c>
      <c r="AN49" s="511">
        <f>STRCHECKDATE(V50:AL50)</f>
      </c>
      <c r="AO49" s="500"/>
      <c r="AP49" s="500" t="str">
        <f>IF(T49="","",T49)</f>
        <v/>
      </c>
      <c r="AQ49" s="500"/>
      <c r="AR49" s="500"/>
      <c r="AS49" s="1155">
        <v>23</v>
      </c>
    </row>
    <row customHeight="1" ht="1.05">
      <c r="A50" s="1363" t="s">
        <v>163</v>
      </c>
      <c r="B50" s="1363" t="s">
        <v>164</v>
      </c>
      <c r="C50" s="1363" t="s">
        <v>165</v>
      </c>
      <c r="D50" s="1363" t="s">
        <v>166</v>
      </c>
      <c r="E50" s="2278"/>
      <c r="F50" s="2278"/>
      <c r="G50" s="2278"/>
      <c r="H50" s="2278"/>
      <c r="I50" s="2305"/>
      <c r="J50" s="2305"/>
      <c r="K50" s="2275"/>
      <c r="L50" s="1364"/>
      <c r="P50" s="2276"/>
      <c r="Q50" s="2276"/>
      <c r="R50" s="357"/>
      <c r="S50" s="1223"/>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163</v>
      </c>
      <c r="B51" s="1363" t="s">
        <v>164</v>
      </c>
      <c r="C51" s="1363" t="s">
        <v>165</v>
      </c>
      <c r="D51" s="1363" t="s">
        <v>166</v>
      </c>
      <c r="E51" s="2278"/>
      <c r="F51" s="2278"/>
      <c r="G51" s="2278"/>
      <c r="H51" s="2278"/>
      <c r="I51" s="2305"/>
      <c r="J51" s="2275"/>
      <c r="K51" s="1363"/>
      <c r="L51" s="1364"/>
      <c r="P51" s="2276"/>
      <c r="Q51" s="2276"/>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78"/>
      <c r="F52" s="2278"/>
      <c r="G52" s="2278"/>
      <c r="H52" s="2278"/>
      <c r="I52" s="2275"/>
      <c r="J52" s="1363"/>
      <c r="K52" s="1363"/>
      <c r="L52" s="1364"/>
      <c r="P52" s="2276"/>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78"/>
      <c r="F53" s="2278"/>
      <c r="G53" s="2278"/>
      <c r="H53" s="2277"/>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78"/>
      <c r="F54" s="2278"/>
      <c r="G54" s="2277"/>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78"/>
      <c r="F55" s="2277"/>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77"/>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7.2">
      <c r="O60" s="537"/>
      <c r="P60" s="130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64</v>
      </c>
    </row>
    <row customHeight="1" ht="14.699999999999998">
      <c r="O61" s="537"/>
      <c r="AS61" s="1155">
        <v>14</v>
      </c>
    </row>
    <row customHeight="1" ht="18.75">
      <c r="O62" s="537"/>
      <c r="P62" s="1328"/>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P63" s="1328"/>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P64" s="1328"/>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88C78-0564-6B78-27F8-C2ED63FF33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401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407</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408</v>
      </c>
      <c r="M6" s="537"/>
      <c r="P6" s="2276">
        <v>1</v>
      </c>
      <c r="Q6" s="1331"/>
      <c r="R6" s="356"/>
      <c r="S6" s="1336">
        <f>$I6</f>
      </c>
      <c r="T6" s="285" t="s">
        <v>409</v>
      </c>
      <c r="U6" s="300"/>
      <c r="V6" s="2264"/>
      <c r="W6" s="2265"/>
      <c r="X6" s="2265"/>
      <c r="Y6" s="2265"/>
      <c r="Z6" s="2265"/>
      <c r="AA6" s="2265"/>
      <c r="AB6" s="2265"/>
      <c r="AC6" s="2266"/>
      <c r="AD6" s="2264"/>
      <c r="AE6" s="2265"/>
      <c r="AF6" s="2265"/>
      <c r="AG6" s="2265"/>
      <c r="AH6" s="2265"/>
      <c r="AI6" s="2265"/>
      <c r="AJ6" s="2265"/>
      <c r="AK6" s="2265"/>
      <c r="AL6" s="2266"/>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411</v>
      </c>
      <c r="M7" s="537"/>
      <c r="N7" s="1366"/>
      <c r="P7" s="2276"/>
      <c r="Q7" s="2276">
        <v>1</v>
      </c>
      <c r="R7" s="357"/>
      <c r="S7" s="1336">
        <f>$J7</f>
      </c>
      <c r="T7" s="286" t="s">
        <v>412</v>
      </c>
      <c r="U7" s="300"/>
      <c r="V7" s="2264"/>
      <c r="W7" s="2265"/>
      <c r="X7" s="2265"/>
      <c r="Y7" s="2265"/>
      <c r="Z7" s="2265"/>
      <c r="AA7" s="2265"/>
      <c r="AB7" s="2265"/>
      <c r="AC7" s="2266"/>
      <c r="AD7" s="2264"/>
      <c r="AE7" s="2265"/>
      <c r="AF7" s="2265"/>
      <c r="AG7" s="2265"/>
      <c r="AH7" s="2265"/>
      <c r="AI7" s="2265"/>
      <c r="AJ7" s="2265"/>
      <c r="AK7" s="2265"/>
      <c r="AL7" s="2266"/>
      <c r="AM7" s="1258" t="s">
        <v>413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414</v>
      </c>
      <c r="M8" s="537"/>
      <c r="N8" s="1366"/>
      <c r="O8" s="1366"/>
      <c r="P8" s="2276"/>
      <c r="Q8" s="2276"/>
      <c r="R8" s="357">
        <v>1</v>
      </c>
      <c r="S8" s="1336">
        <f>$K8</f>
      </c>
      <c r="T8" s="1347"/>
      <c r="U8" s="300"/>
      <c r="V8" s="751"/>
      <c r="W8" s="325"/>
      <c r="X8" s="751"/>
      <c r="Y8" s="1257"/>
      <c r="Z8" s="2284"/>
      <c r="AA8" s="2126" t="s">
        <v>66</v>
      </c>
      <c r="AB8" s="2284"/>
      <c r="AC8" s="2126" t="s">
        <v>66</v>
      </c>
      <c r="AD8" s="751"/>
      <c r="AE8" s="325"/>
      <c r="AF8" s="751"/>
      <c r="AG8" s="1257"/>
      <c r="AH8" s="2284"/>
      <c r="AI8" s="2126" t="s">
        <v>66</v>
      </c>
      <c r="AJ8" s="2284"/>
      <c r="AK8" s="2126" t="s">
        <v>66</v>
      </c>
      <c r="AL8" s="325"/>
      <c r="AM8" s="2272" t="s">
        <v>415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66</v>
      </c>
      <c r="AJ17" s="2286"/>
      <c r="AK17" s="2287" t="s">
        <v>66</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306</v>
      </c>
      <c r="AS38" s="1155">
        <v>14</v>
      </c>
    </row>
    <row customHeight="1" ht="14.699999999999998">
      <c r="Q39" s="376"/>
      <c r="R39" s="376"/>
      <c r="S39" s="2292" t="s">
        <v>89</v>
      </c>
      <c r="T39" s="2228" t="s">
        <v>429</v>
      </c>
      <c r="U39" s="301"/>
      <c r="V39" s="2293" t="s">
        <v>430</v>
      </c>
      <c r="W39" s="2294"/>
      <c r="X39" s="2294"/>
      <c r="Y39" s="2294"/>
      <c r="Z39" s="2294"/>
      <c r="AA39" s="2294"/>
      <c r="AB39" s="2295"/>
      <c r="AC39" s="2296" t="s">
        <v>431</v>
      </c>
      <c r="AD39" s="2293" t="s">
        <v>430</v>
      </c>
      <c r="AE39" s="2294"/>
      <c r="AF39" s="2294"/>
      <c r="AG39" s="2294"/>
      <c r="AH39" s="2294"/>
      <c r="AI39" s="2294"/>
      <c r="AJ39" s="2295"/>
      <c r="AK39" s="2296" t="s">
        <v>432</v>
      </c>
      <c r="AL39" s="2299" t="s">
        <v>433</v>
      </c>
      <c r="AM39" s="2146"/>
      <c r="AS39" s="1155">
        <v>14</v>
      </c>
    </row>
    <row customHeight="1" ht="35.699999999999996">
      <c r="Q40" s="376"/>
      <c r="R40" s="376"/>
      <c r="S40" s="2292"/>
      <c r="T40" s="2228"/>
      <c r="U40" s="1031"/>
      <c r="V40" s="2279" t="s">
        <v>434</v>
      </c>
      <c r="W40" s="2302" t="s">
        <v>435</v>
      </c>
      <c r="X40" s="2281" t="s">
        <v>436</v>
      </c>
      <c r="Y40" s="2282"/>
      <c r="Z40" s="2281" t="s">
        <v>450</v>
      </c>
      <c r="AA40" s="2288"/>
      <c r="AB40" s="2282"/>
      <c r="AC40" s="2297"/>
      <c r="AD40" s="2279" t="s">
        <v>434</v>
      </c>
      <c r="AE40" s="2302" t="s">
        <v>435</v>
      </c>
      <c r="AF40" s="2281" t="s">
        <v>436</v>
      </c>
      <c r="AG40" s="2282"/>
      <c r="AH40" s="2281" t="s">
        <v>437</v>
      </c>
      <c r="AI40" s="2288"/>
      <c r="AJ40" s="2282"/>
      <c r="AK40" s="2297"/>
      <c r="AL40" s="2300"/>
      <c r="AM40" s="2146"/>
      <c r="AS40" s="1155">
        <v>34</v>
      </c>
    </row>
    <row customHeight="1" ht="35.699999999999996">
      <c r="A41" s="1370"/>
      <c r="B41" s="1370" t="s">
        <v>142</v>
      </c>
      <c r="C41" s="1370" t="s">
        <v>143</v>
      </c>
      <c r="D41" s="1370" t="s">
        <v>144</v>
      </c>
      <c r="E41" s="1364" t="s">
        <v>438</v>
      </c>
      <c r="F41" s="1364" t="s">
        <v>439</v>
      </c>
      <c r="G41" s="1364" t="s">
        <v>440</v>
      </c>
      <c r="H41" s="1364" t="s">
        <v>441</v>
      </c>
      <c r="I41" s="1364" t="s">
        <v>442</v>
      </c>
      <c r="J41" s="1364" t="s">
        <v>443</v>
      </c>
      <c r="K41" s="1364" t="s">
        <v>444</v>
      </c>
      <c r="L41" s="1364" t="s">
        <v>423</v>
      </c>
      <c r="Q41" s="376"/>
      <c r="R41" s="376"/>
      <c r="S41" s="2292"/>
      <c r="T41" s="2228"/>
      <c r="U41" s="302"/>
      <c r="V41" s="2280"/>
      <c r="W41" s="2303"/>
      <c r="X41" s="1222" t="s">
        <v>445</v>
      </c>
      <c r="Y41" s="1222" t="s">
        <v>446</v>
      </c>
      <c r="Z41" s="1338" t="s">
        <v>447</v>
      </c>
      <c r="AA41" s="2289" t="s">
        <v>448</v>
      </c>
      <c r="AB41" s="2290"/>
      <c r="AC41" s="2298"/>
      <c r="AD41" s="2280"/>
      <c r="AE41" s="2303"/>
      <c r="AF41" s="1222" t="s">
        <v>445</v>
      </c>
      <c r="AG41" s="1222" t="s">
        <v>446</v>
      </c>
      <c r="AH41" s="1338" t="s">
        <v>447</v>
      </c>
      <c r="AI41" s="2289" t="s">
        <v>448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407</v>
      </c>
      <c r="AO46" s="500"/>
      <c r="AP46" s="500" t="str">
        <f>IF(T46="","",T46)</f>
        <v>Источник тепловой энергии  </v>
      </c>
      <c r="AQ46" s="500"/>
      <c r="AR46" s="500"/>
      <c r="AS46" s="1155">
        <v>21</v>
      </c>
    </row>
    <row customHeight="1" ht="49.5">
      <c r="A47" s="1363" t="s">
        <v>168</v>
      </c>
      <c r="B47" s="1363" t="s">
        <v>169</v>
      </c>
      <c r="C47" s="1363" t="s">
        <v>170</v>
      </c>
      <c r="D47" s="1363" t="s">
        <v>171</v>
      </c>
      <c r="E47" s="2278"/>
      <c r="F47" s="2278"/>
      <c r="G47" s="2278"/>
      <c r="H47" s="2278"/>
      <c r="I47" s="2275" t="str">
        <f>S46&amp;".1"</f>
        <v>....1</v>
      </c>
      <c r="J47" s="1363"/>
      <c r="K47" s="1363"/>
      <c r="L47" s="1364" t="s">
        <v>408</v>
      </c>
      <c r="P47" s="2276">
        <v>1</v>
      </c>
      <c r="Q47" s="1331"/>
      <c r="R47" s="356"/>
      <c r="S47" s="1336" t="str">
        <f>$I47</f>
        <v>....1</v>
      </c>
      <c r="T47" s="285" t="s">
        <v>409</v>
      </c>
      <c r="U47" s="300"/>
      <c r="V47" s="2264"/>
      <c r="W47" s="2265"/>
      <c r="X47" s="2265"/>
      <c r="Y47" s="2265"/>
      <c r="Z47" s="2265"/>
      <c r="AA47" s="2265"/>
      <c r="AB47" s="2265"/>
      <c r="AC47" s="2266"/>
      <c r="AD47" s="2264"/>
      <c r="AE47" s="2265"/>
      <c r="AF47" s="2265"/>
      <c r="AG47" s="2265"/>
      <c r="AH47" s="2265"/>
      <c r="AI47" s="2265"/>
      <c r="AJ47" s="2265"/>
      <c r="AK47" s="2265"/>
      <c r="AL47" s="2266"/>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168</v>
      </c>
      <c r="B48" s="1363" t="s">
        <v>169</v>
      </c>
      <c r="C48" s="1363" t="s">
        <v>170</v>
      </c>
      <c r="D48" s="1363" t="s">
        <v>171</v>
      </c>
      <c r="E48" s="2278"/>
      <c r="F48" s="2278"/>
      <c r="G48" s="2278"/>
      <c r="H48" s="2278"/>
      <c r="I48" s="2305"/>
      <c r="J48" s="2275" t="str">
        <f>I47&amp;".1"</f>
        <v>....1.1</v>
      </c>
      <c r="K48" s="1363"/>
      <c r="L48" s="1364" t="s">
        <v>411</v>
      </c>
      <c r="P48" s="2276"/>
      <c r="Q48" s="2276">
        <v>1</v>
      </c>
      <c r="R48" s="357"/>
      <c r="S48" s="1336" t="str">
        <f>$J48</f>
        <v>....1.1</v>
      </c>
      <c r="T48" s="286" t="s">
        <v>412</v>
      </c>
      <c r="U48" s="300"/>
      <c r="V48" s="2264"/>
      <c r="W48" s="2265"/>
      <c r="X48" s="2265"/>
      <c r="Y48" s="2265"/>
      <c r="Z48" s="2265"/>
      <c r="AA48" s="2265"/>
      <c r="AB48" s="2265"/>
      <c r="AC48" s="2266"/>
      <c r="AD48" s="2264"/>
      <c r="AE48" s="2265"/>
      <c r="AF48" s="2265"/>
      <c r="AG48" s="2265"/>
      <c r="AH48" s="2265"/>
      <c r="AI48" s="2265"/>
      <c r="AJ48" s="2265"/>
      <c r="AK48" s="2265"/>
      <c r="AL48" s="2266"/>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78"/>
      <c r="F49" s="2278"/>
      <c r="G49" s="2278"/>
      <c r="H49" s="2278"/>
      <c r="I49" s="2305"/>
      <c r="J49" s="2305"/>
      <c r="K49" s="2275" t="str">
        <f>J48&amp;".1"</f>
        <v>....1.1.1</v>
      </c>
      <c r="L49" s="1364" t="s">
        <v>414</v>
      </c>
      <c r="P49" s="2276"/>
      <c r="Q49" s="2276"/>
      <c r="R49" s="357">
        <v>1</v>
      </c>
      <c r="S49" s="1336" t="str">
        <f>$K49</f>
        <v>....1.1.1</v>
      </c>
      <c r="T49" s="1347"/>
      <c r="U49" s="300"/>
      <c r="V49" s="751"/>
      <c r="W49" s="325"/>
      <c r="X49" s="751"/>
      <c r="Y49" s="1257"/>
      <c r="Z49" s="2284"/>
      <c r="AA49" s="2126" t="s">
        <v>66</v>
      </c>
      <c r="AB49" s="2284"/>
      <c r="AC49" s="2126" t="s">
        <v>66</v>
      </c>
      <c r="AD49" s="751"/>
      <c r="AE49" s="325"/>
      <c r="AF49" s="751"/>
      <c r="AG49" s="1257"/>
      <c r="AH49" s="2284"/>
      <c r="AI49" s="2126" t="s">
        <v>66</v>
      </c>
      <c r="AJ49" s="2306"/>
      <c r="AK49" s="2126" t="s">
        <v>66</v>
      </c>
      <c r="AL49" s="1348"/>
      <c r="AM49" s="2272" t="s">
        <v>415</v>
      </c>
      <c r="AN49" s="511">
        <f>STRCHECKDATE(V50:AL50)</f>
      </c>
      <c r="AO49" s="500"/>
      <c r="AP49" s="500" t="str">
        <f>IF(T49="","",T49)</f>
        <v/>
      </c>
      <c r="AQ49" s="500"/>
      <c r="AR49" s="500"/>
      <c r="AS49" s="1155">
        <v>21</v>
      </c>
    </row>
    <row customHeight="1" ht="1.05">
      <c r="A50" s="1363" t="s">
        <v>168</v>
      </c>
      <c r="B50" s="1363" t="s">
        <v>169</v>
      </c>
      <c r="C50" s="1363" t="s">
        <v>170</v>
      </c>
      <c r="D50" s="1363" t="s">
        <v>171</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168</v>
      </c>
      <c r="B51" s="1363" t="s">
        <v>169</v>
      </c>
      <c r="C51" s="1363" t="s">
        <v>170</v>
      </c>
      <c r="D51" s="1363" t="s">
        <v>171</v>
      </c>
      <c r="E51" s="2278"/>
      <c r="F51" s="2278"/>
      <c r="G51" s="2278"/>
      <c r="H51" s="2278"/>
      <c r="I51" s="2305"/>
      <c r="J51" s="2275"/>
      <c r="K51" s="1363"/>
      <c r="L51" s="1364"/>
      <c r="P51" s="2276"/>
      <c r="Q51" s="2276"/>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78"/>
      <c r="F52" s="2278"/>
      <c r="G52" s="2278"/>
      <c r="H52" s="2278"/>
      <c r="I52" s="2275"/>
      <c r="J52" s="1363"/>
      <c r="K52" s="1363"/>
      <c r="L52" s="1364"/>
      <c r="P52" s="2276"/>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168</v>
      </c>
      <c r="B53" s="1363" t="s">
        <v>169</v>
      </c>
      <c r="C53" s="1363" t="s">
        <v>170</v>
      </c>
      <c r="D53" s="1363" t="s">
        <v>171</v>
      </c>
      <c r="E53" s="2278"/>
      <c r="F53" s="2278"/>
      <c r="G53" s="2278"/>
      <c r="H53" s="2277"/>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168</v>
      </c>
      <c r="B54" s="1343" t="s">
        <v>169</v>
      </c>
      <c r="C54" s="1343" t="s">
        <v>170</v>
      </c>
      <c r="D54" s="1314"/>
      <c r="E54" s="2278"/>
      <c r="F54" s="2278"/>
      <c r="G54" s="2277"/>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78"/>
      <c r="F55" s="2277"/>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77"/>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5.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62</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D1CE8-A441-7078-C068-7246A968C4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130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401</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402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403</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404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405</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407</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408</v>
      </c>
      <c r="M6" s="1635"/>
      <c r="P6" s="2276">
        <v>1</v>
      </c>
      <c r="Q6" s="1951"/>
      <c r="R6" s="356"/>
      <c r="S6" s="1955">
        <f>$I6</f>
      </c>
      <c r="T6" s="285" t="s">
        <v>409</v>
      </c>
      <c r="U6" s="300"/>
      <c r="V6" s="2264"/>
      <c r="W6" s="2265"/>
      <c r="X6" s="2265"/>
      <c r="Y6" s="2265"/>
      <c r="Z6" s="2265"/>
      <c r="AA6" s="2265"/>
      <c r="AB6" s="2265"/>
      <c r="AC6" s="2266"/>
      <c r="AD6" s="2264"/>
      <c r="AE6" s="2265"/>
      <c r="AF6" s="2265"/>
      <c r="AG6" s="2265"/>
      <c r="AH6" s="2265"/>
      <c r="AI6" s="2265"/>
      <c r="AJ6" s="2265"/>
      <c r="AK6" s="2265"/>
      <c r="AL6" s="2266"/>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411</v>
      </c>
      <c r="M7" s="1635"/>
      <c r="N7" s="1631"/>
      <c r="P7" s="2276"/>
      <c r="Q7" s="2276">
        <v>1</v>
      </c>
      <c r="R7" s="357"/>
      <c r="S7" s="1955">
        <f>$J7</f>
      </c>
      <c r="T7" s="286" t="s">
        <v>412</v>
      </c>
      <c r="U7" s="300"/>
      <c r="V7" s="2264"/>
      <c r="W7" s="2265"/>
      <c r="X7" s="2265"/>
      <c r="Y7" s="2265"/>
      <c r="Z7" s="2265"/>
      <c r="AA7" s="2265"/>
      <c r="AB7" s="2265"/>
      <c r="AC7" s="2266"/>
      <c r="AD7" s="2264"/>
      <c r="AE7" s="2265"/>
      <c r="AF7" s="2265"/>
      <c r="AG7" s="2265"/>
      <c r="AH7" s="2265"/>
      <c r="AI7" s="2265"/>
      <c r="AJ7" s="2265"/>
      <c r="AK7" s="2265"/>
      <c r="AL7" s="2266"/>
      <c r="AM7" s="1258" t="s">
        <v>413</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414</v>
      </c>
      <c r="M8" s="1635"/>
      <c r="N8" s="1631"/>
      <c r="O8" s="1631"/>
      <c r="P8" s="2276"/>
      <c r="Q8" s="2276"/>
      <c r="R8" s="357">
        <v>1</v>
      </c>
      <c r="S8" s="1955">
        <f>$K8</f>
      </c>
      <c r="T8" s="1347"/>
      <c r="U8" s="300"/>
      <c r="V8" s="751"/>
      <c r="W8" s="325"/>
      <c r="X8" s="751"/>
      <c r="Y8" s="1257"/>
      <c r="Z8" s="2284"/>
      <c r="AA8" s="2126" t="s">
        <v>66</v>
      </c>
      <c r="AB8" s="2284"/>
      <c r="AC8" s="2126" t="s">
        <v>66</v>
      </c>
      <c r="AD8" s="751"/>
      <c r="AE8" s="325"/>
      <c r="AF8" s="751"/>
      <c r="AG8" s="1257"/>
      <c r="AH8" s="2284"/>
      <c r="AI8" s="2126" t="s">
        <v>66</v>
      </c>
      <c r="AJ8" s="2284"/>
      <c r="AK8" s="2126" t="s">
        <v>66</v>
      </c>
      <c r="AL8" s="325"/>
      <c r="AM8" s="2272" t="s">
        <v>415</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09"/>
      <c r="F13" s="2309"/>
      <c r="G13" s="2308"/>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09"/>
      <c r="F14" s="2308"/>
      <c r="G14" s="1374"/>
      <c r="H14" s="1374"/>
      <c r="I14" s="1374"/>
      <c r="J14" s="1374"/>
      <c r="K14" s="1374"/>
      <c r="L14" s="1377"/>
      <c r="M14" s="1379"/>
      <c r="N14" s="1379"/>
      <c r="O14" s="35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08"/>
      <c r="F15" s="1374"/>
      <c r="G15" s="1374"/>
      <c r="H15" s="1374"/>
      <c r="I15" s="1374"/>
      <c r="J15" s="1374"/>
      <c r="K15" s="1374"/>
      <c r="L15" s="1377"/>
      <c r="M15" s="1379"/>
      <c r="N15" s="1379"/>
      <c r="O15" s="35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66</v>
      </c>
      <c r="AJ17" s="2286"/>
      <c r="AK17" s="2287" t="s">
        <v>66</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305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306</v>
      </c>
      <c r="AS38" s="1631">
        <v>14</v>
      </c>
    </row>
    <row customHeight="1" ht="14.699999999999998">
      <c r="Q39" s="376"/>
      <c r="R39" s="376"/>
      <c r="S39" s="2292" t="s">
        <v>89</v>
      </c>
      <c r="T39" s="2228" t="s">
        <v>429</v>
      </c>
      <c r="U39" s="337"/>
      <c r="V39" s="2293" t="s">
        <v>430</v>
      </c>
      <c r="W39" s="2294"/>
      <c r="X39" s="2294"/>
      <c r="Y39" s="2294"/>
      <c r="Z39" s="2294"/>
      <c r="AA39" s="2294"/>
      <c r="AB39" s="2295"/>
      <c r="AC39" s="2296" t="s">
        <v>431</v>
      </c>
      <c r="AD39" s="2293" t="s">
        <v>430</v>
      </c>
      <c r="AE39" s="2294"/>
      <c r="AF39" s="2294"/>
      <c r="AG39" s="2294"/>
      <c r="AH39" s="2294"/>
      <c r="AI39" s="2294"/>
      <c r="AJ39" s="2295"/>
      <c r="AK39" s="2296" t="s">
        <v>432</v>
      </c>
      <c r="AL39" s="2299" t="s">
        <v>433</v>
      </c>
      <c r="AM39" s="2146"/>
      <c r="AS39" s="1631">
        <v>14</v>
      </c>
    </row>
    <row customHeight="1" ht="35.699999999999996">
      <c r="Q40" s="376"/>
      <c r="R40" s="376"/>
      <c r="S40" s="2292"/>
      <c r="T40" s="2228"/>
      <c r="U40" s="1031"/>
      <c r="V40" s="2279" t="s">
        <v>434</v>
      </c>
      <c r="W40" s="2302" t="s">
        <v>435</v>
      </c>
      <c r="X40" s="2281" t="s">
        <v>436</v>
      </c>
      <c r="Y40" s="2282"/>
      <c r="Z40" s="2281" t="s">
        <v>450</v>
      </c>
      <c r="AA40" s="2288"/>
      <c r="AB40" s="2282"/>
      <c r="AC40" s="2297"/>
      <c r="AD40" s="2279" t="s">
        <v>434</v>
      </c>
      <c r="AE40" s="2302" t="s">
        <v>435</v>
      </c>
      <c r="AF40" s="2281" t="s">
        <v>436</v>
      </c>
      <c r="AG40" s="2282"/>
      <c r="AH40" s="2281" t="s">
        <v>437</v>
      </c>
      <c r="AI40" s="2288"/>
      <c r="AJ40" s="2282"/>
      <c r="AK40" s="2297"/>
      <c r="AL40" s="2300"/>
      <c r="AM40" s="2146"/>
      <c r="AS40" s="1631">
        <v>34</v>
      </c>
    </row>
    <row customHeight="1" ht="35.699999999999996">
      <c r="A41" s="1266"/>
      <c r="B41" s="1266" t="s">
        <v>142</v>
      </c>
      <c r="C41" s="1266" t="s">
        <v>143</v>
      </c>
      <c r="D41" s="1266" t="s">
        <v>144</v>
      </c>
      <c r="E41" s="1310" t="s">
        <v>438</v>
      </c>
      <c r="F41" s="1310" t="s">
        <v>439</v>
      </c>
      <c r="G41" s="1310" t="s">
        <v>440</v>
      </c>
      <c r="H41" s="1310" t="s">
        <v>441</v>
      </c>
      <c r="I41" s="1310" t="s">
        <v>442</v>
      </c>
      <c r="J41" s="1310" t="s">
        <v>443</v>
      </c>
      <c r="K41" s="1310" t="s">
        <v>444</v>
      </c>
      <c r="L41" s="1310" t="s">
        <v>423</v>
      </c>
      <c r="Q41" s="376"/>
      <c r="R41" s="376"/>
      <c r="S41" s="2292"/>
      <c r="T41" s="2228"/>
      <c r="U41" s="302"/>
      <c r="V41" s="2280"/>
      <c r="W41" s="2303"/>
      <c r="X41" s="1935" t="s">
        <v>445</v>
      </c>
      <c r="Y41" s="1935" t="s">
        <v>446</v>
      </c>
      <c r="Z41" s="1935" t="s">
        <v>447</v>
      </c>
      <c r="AA41" s="2289" t="s">
        <v>448</v>
      </c>
      <c r="AB41" s="2290"/>
      <c r="AC41" s="2298"/>
      <c r="AD41" s="2280"/>
      <c r="AE41" s="2303"/>
      <c r="AF41" s="1935" t="s">
        <v>445</v>
      </c>
      <c r="AG41" s="1935" t="s">
        <v>446</v>
      </c>
      <c r="AH41" s="1935" t="s">
        <v>447</v>
      </c>
      <c r="AI41" s="2289" t="s">
        <v>448</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110</v>
      </c>
      <c r="T42" s="1255" t="s">
        <v>111</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217</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130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402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404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309"/>
      <c r="F47" s="2309"/>
      <c r="G47" s="2309"/>
      <c r="H47" s="2309"/>
      <c r="I47" s="2146" t="str">
        <f>S46&amp;".1"</f>
        <v>....1</v>
      </c>
      <c r="J47" s="1267"/>
      <c r="K47" s="1267"/>
      <c r="L47" s="1310" t="s">
        <v>408</v>
      </c>
      <c r="P47" s="2276">
        <v>1</v>
      </c>
      <c r="Q47" s="1951"/>
      <c r="R47" s="356"/>
      <c r="S47" s="1955" t="str">
        <f>$I47</f>
        <v>....1</v>
      </c>
      <c r="T47" s="285" t="s">
        <v>409</v>
      </c>
      <c r="U47" s="300"/>
      <c r="V47" s="2264"/>
      <c r="W47" s="2265"/>
      <c r="X47" s="2265"/>
      <c r="Y47" s="2265"/>
      <c r="Z47" s="2265"/>
      <c r="AA47" s="2265"/>
      <c r="AB47" s="2265"/>
      <c r="AC47" s="2266"/>
      <c r="AD47" s="2264"/>
      <c r="AE47" s="2265"/>
      <c r="AF47" s="2265"/>
      <c r="AG47" s="2265"/>
      <c r="AH47" s="2265"/>
      <c r="AI47" s="2265"/>
      <c r="AJ47" s="2265"/>
      <c r="AK47" s="2265"/>
      <c r="AL47" s="2266"/>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309"/>
      <c r="F48" s="2309"/>
      <c r="G48" s="2309"/>
      <c r="H48" s="2309"/>
      <c r="I48" s="2120"/>
      <c r="J48" s="2146" t="str">
        <f>I47&amp;".1"</f>
        <v>....1.1</v>
      </c>
      <c r="K48" s="1267"/>
      <c r="L48" s="1310" t="s">
        <v>411</v>
      </c>
      <c r="P48" s="2276"/>
      <c r="Q48" s="2276">
        <v>1</v>
      </c>
      <c r="R48" s="357"/>
      <c r="S48" s="1955" t="str">
        <f>$J48</f>
        <v>....1.1</v>
      </c>
      <c r="T48" s="286" t="s">
        <v>412</v>
      </c>
      <c r="U48" s="300"/>
      <c r="V48" s="2264"/>
      <c r="W48" s="2265"/>
      <c r="X48" s="2265"/>
      <c r="Y48" s="2265"/>
      <c r="Z48" s="2265"/>
      <c r="AA48" s="2265"/>
      <c r="AB48" s="2265"/>
      <c r="AC48" s="2266"/>
      <c r="AD48" s="2264"/>
      <c r="AE48" s="2265"/>
      <c r="AF48" s="2265"/>
      <c r="AG48" s="2265"/>
      <c r="AH48" s="2265"/>
      <c r="AI48" s="2265"/>
      <c r="AJ48" s="2265"/>
      <c r="AK48" s="2265"/>
      <c r="AL48" s="2266"/>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309"/>
      <c r="F49" s="2309"/>
      <c r="G49" s="2309"/>
      <c r="H49" s="2309"/>
      <c r="I49" s="2120"/>
      <c r="J49" s="2120"/>
      <c r="K49" s="2146" t="str">
        <f>J48&amp;".1"</f>
        <v>....1.1.1</v>
      </c>
      <c r="L49" s="1310" t="s">
        <v>414</v>
      </c>
      <c r="P49" s="2276"/>
      <c r="Q49" s="2276"/>
      <c r="R49" s="357">
        <v>1</v>
      </c>
      <c r="S49" s="1955" t="str">
        <f>$K49</f>
        <v>....1.1.1</v>
      </c>
      <c r="T49" s="1347"/>
      <c r="U49" s="300"/>
      <c r="V49" s="751"/>
      <c r="W49" s="325"/>
      <c r="X49" s="751"/>
      <c r="Y49" s="1257"/>
      <c r="Z49" s="2284"/>
      <c r="AA49" s="2126" t="s">
        <v>66</v>
      </c>
      <c r="AB49" s="2284"/>
      <c r="AC49" s="2126" t="s">
        <v>66</v>
      </c>
      <c r="AD49" s="751"/>
      <c r="AE49" s="325"/>
      <c r="AF49" s="751"/>
      <c r="AG49" s="1257"/>
      <c r="AH49" s="2284"/>
      <c r="AI49" s="2126" t="s">
        <v>66</v>
      </c>
      <c r="AJ49" s="2306"/>
      <c r="AK49" s="2126" t="s">
        <v>66</v>
      </c>
      <c r="AL49" s="1348"/>
      <c r="AM49" s="2272"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217</v>
      </c>
      <c r="B51" s="1267" t="s">
        <v>218</v>
      </c>
      <c r="C51" s="1267" t="s">
        <v>219</v>
      </c>
      <c r="D51" s="1267" t="s">
        <v>220</v>
      </c>
      <c r="E51" s="2309"/>
      <c r="F51" s="2309"/>
      <c r="G51" s="2309"/>
      <c r="H51" s="2309"/>
      <c r="I51" s="2120"/>
      <c r="J51" s="2146"/>
      <c r="K51" s="1267"/>
      <c r="L51" s="1310"/>
      <c r="P51" s="2276"/>
      <c r="Q51" s="2276"/>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309"/>
      <c r="F52" s="2309"/>
      <c r="G52" s="2309"/>
      <c r="H52" s="2309"/>
      <c r="I52" s="2146"/>
      <c r="J52" s="1267"/>
      <c r="K52" s="1267"/>
      <c r="L52" s="1310"/>
      <c r="P52" s="2276"/>
      <c r="Q52" s="1951"/>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309"/>
      <c r="F53" s="2309"/>
      <c r="G53" s="2309"/>
      <c r="H53" s="2308"/>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309"/>
      <c r="F54" s="2309"/>
      <c r="G54" s="2308"/>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309"/>
      <c r="F55" s="2308"/>
      <c r="G55" s="1374"/>
      <c r="H55" s="1374"/>
      <c r="I55" s="1374"/>
      <c r="J55" s="1374"/>
      <c r="K55" s="1374"/>
      <c r="L55" s="1377"/>
      <c r="M55" s="1379"/>
      <c r="N55" s="1379"/>
      <c r="O55" s="35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308"/>
      <c r="F56" s="1375"/>
      <c r="G56" s="1375"/>
      <c r="H56" s="1375"/>
      <c r="I56" s="1375"/>
      <c r="J56" s="1375"/>
      <c r="K56" s="1375"/>
      <c r="L56" s="1381"/>
      <c r="M56" s="1379"/>
      <c r="N56" s="1379"/>
      <c r="O56" s="351"/>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E1698-B048-12C1-BAD8-8379CE6DB7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130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401</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402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403</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404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405</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407</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408</v>
      </c>
      <c r="M6" s="1635"/>
      <c r="P6" s="2276">
        <v>1</v>
      </c>
      <c r="Q6" s="1951"/>
      <c r="R6" s="356"/>
      <c r="S6" s="1955">
        <f>$I6</f>
      </c>
      <c r="T6" s="285" t="s">
        <v>409</v>
      </c>
      <c r="U6" s="300"/>
      <c r="V6" s="2264"/>
      <c r="W6" s="2265"/>
      <c r="X6" s="2265"/>
      <c r="Y6" s="2265"/>
      <c r="Z6" s="2265"/>
      <c r="AA6" s="2265"/>
      <c r="AB6" s="2265"/>
      <c r="AC6" s="2266"/>
      <c r="AD6" s="2264"/>
      <c r="AE6" s="2265"/>
      <c r="AF6" s="2265"/>
      <c r="AG6" s="2265"/>
      <c r="AH6" s="2265"/>
      <c r="AI6" s="2265"/>
      <c r="AJ6" s="2265"/>
      <c r="AK6" s="2265"/>
      <c r="AL6" s="2266"/>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411</v>
      </c>
      <c r="M7" s="1635"/>
      <c r="N7" s="1631"/>
      <c r="P7" s="2276"/>
      <c r="Q7" s="2276">
        <v>1</v>
      </c>
      <c r="R7" s="357"/>
      <c r="S7" s="1955">
        <f>$J7</f>
      </c>
      <c r="T7" s="286" t="s">
        <v>412</v>
      </c>
      <c r="U7" s="300"/>
      <c r="V7" s="2264"/>
      <c r="W7" s="2265"/>
      <c r="X7" s="2265"/>
      <c r="Y7" s="2265"/>
      <c r="Z7" s="2265"/>
      <c r="AA7" s="2265"/>
      <c r="AB7" s="2265"/>
      <c r="AC7" s="2266"/>
      <c r="AD7" s="2264"/>
      <c r="AE7" s="2265"/>
      <c r="AF7" s="2265"/>
      <c r="AG7" s="2265"/>
      <c r="AH7" s="2265"/>
      <c r="AI7" s="2265"/>
      <c r="AJ7" s="2265"/>
      <c r="AK7" s="2265"/>
      <c r="AL7" s="2266"/>
      <c r="AM7" s="1258" t="s">
        <v>413</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414</v>
      </c>
      <c r="M8" s="1635"/>
      <c r="N8" s="1631"/>
      <c r="O8" s="1631"/>
      <c r="P8" s="2276"/>
      <c r="Q8" s="2276"/>
      <c r="R8" s="357">
        <v>1</v>
      </c>
      <c r="S8" s="1955">
        <f>$K8</f>
      </c>
      <c r="T8" s="1347"/>
      <c r="U8" s="300"/>
      <c r="V8" s="751"/>
      <c r="W8" s="325"/>
      <c r="X8" s="751"/>
      <c r="Y8" s="1257"/>
      <c r="Z8" s="2284"/>
      <c r="AA8" s="2126" t="s">
        <v>66</v>
      </c>
      <c r="AB8" s="2284"/>
      <c r="AC8" s="2126" t="s">
        <v>66</v>
      </c>
      <c r="AD8" s="751"/>
      <c r="AE8" s="325"/>
      <c r="AF8" s="751"/>
      <c r="AG8" s="1257"/>
      <c r="AH8" s="2284"/>
      <c r="AI8" s="2126" t="s">
        <v>66</v>
      </c>
      <c r="AJ8" s="2284"/>
      <c r="AK8" s="2126" t="s">
        <v>66</v>
      </c>
      <c r="AL8" s="325"/>
      <c r="AM8" s="2272" t="s">
        <v>415</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09"/>
      <c r="F13" s="2309"/>
      <c r="G13" s="2308"/>
      <c r="H13" s="1971"/>
      <c r="I13" s="1971"/>
      <c r="J13" s="1971"/>
      <c r="K13" s="1971"/>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09"/>
      <c r="F14" s="2308"/>
      <c r="G14" s="1971"/>
      <c r="H14" s="1971"/>
      <c r="I14" s="1971"/>
      <c r="J14" s="1971"/>
      <c r="K14" s="1971"/>
      <c r="L14" s="1380"/>
      <c r="M14" s="1972"/>
      <c r="N14" s="1972"/>
      <c r="O14" s="1635"/>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08"/>
      <c r="F15" s="1971"/>
      <c r="G15" s="1971"/>
      <c r="H15" s="1971"/>
      <c r="I15" s="1971"/>
      <c r="J15" s="1971"/>
      <c r="K15" s="1971"/>
      <c r="L15" s="1380"/>
      <c r="M15" s="1972"/>
      <c r="N15" s="1972"/>
      <c r="O15" s="1635"/>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66</v>
      </c>
      <c r="AJ17" s="2286"/>
      <c r="AK17" s="2287" t="s">
        <v>66</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305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306</v>
      </c>
      <c r="AS38" s="1631">
        <v>14</v>
      </c>
    </row>
    <row customHeight="1" ht="14.699999999999998">
      <c r="Q39" s="376"/>
      <c r="R39" s="376"/>
      <c r="S39" s="2292" t="s">
        <v>89</v>
      </c>
      <c r="T39" s="2228" t="s">
        <v>429</v>
      </c>
      <c r="U39" s="337"/>
      <c r="V39" s="2293" t="s">
        <v>430</v>
      </c>
      <c r="W39" s="2294"/>
      <c r="X39" s="2294"/>
      <c r="Y39" s="2294"/>
      <c r="Z39" s="2294"/>
      <c r="AA39" s="2294"/>
      <c r="AB39" s="2295"/>
      <c r="AC39" s="2296" t="s">
        <v>431</v>
      </c>
      <c r="AD39" s="2293" t="s">
        <v>430</v>
      </c>
      <c r="AE39" s="2294"/>
      <c r="AF39" s="2294"/>
      <c r="AG39" s="2294"/>
      <c r="AH39" s="2294"/>
      <c r="AI39" s="2294"/>
      <c r="AJ39" s="2295"/>
      <c r="AK39" s="2296" t="s">
        <v>432</v>
      </c>
      <c r="AL39" s="2299" t="s">
        <v>433</v>
      </c>
      <c r="AM39" s="2146"/>
      <c r="AS39" s="1631">
        <v>14</v>
      </c>
    </row>
    <row customHeight="1" ht="35.699999999999996">
      <c r="Q40" s="376"/>
      <c r="R40" s="376"/>
      <c r="S40" s="2292"/>
      <c r="T40" s="2228"/>
      <c r="U40" s="1031"/>
      <c r="V40" s="2279" t="s">
        <v>434</v>
      </c>
      <c r="W40" s="2302" t="s">
        <v>435</v>
      </c>
      <c r="X40" s="2281" t="s">
        <v>436</v>
      </c>
      <c r="Y40" s="2282"/>
      <c r="Z40" s="2281" t="s">
        <v>450</v>
      </c>
      <c r="AA40" s="2288"/>
      <c r="AB40" s="2282"/>
      <c r="AC40" s="2297"/>
      <c r="AD40" s="2279" t="s">
        <v>434</v>
      </c>
      <c r="AE40" s="2302" t="s">
        <v>435</v>
      </c>
      <c r="AF40" s="2281" t="s">
        <v>436</v>
      </c>
      <c r="AG40" s="2282"/>
      <c r="AH40" s="2281" t="s">
        <v>437</v>
      </c>
      <c r="AI40" s="2288"/>
      <c r="AJ40" s="2282"/>
      <c r="AK40" s="2297"/>
      <c r="AL40" s="2300"/>
      <c r="AM40" s="2146"/>
      <c r="AS40" s="1631">
        <v>34</v>
      </c>
    </row>
    <row customHeight="1" ht="35.699999999999996">
      <c r="A41" s="1266"/>
      <c r="B41" s="1266" t="s">
        <v>142</v>
      </c>
      <c r="C41" s="1266" t="s">
        <v>143</v>
      </c>
      <c r="D41" s="1266" t="s">
        <v>144</v>
      </c>
      <c r="E41" s="1310" t="s">
        <v>438</v>
      </c>
      <c r="F41" s="1310" t="s">
        <v>439</v>
      </c>
      <c r="G41" s="1310" t="s">
        <v>440</v>
      </c>
      <c r="H41" s="1310" t="s">
        <v>441</v>
      </c>
      <c r="I41" s="1310" t="s">
        <v>442</v>
      </c>
      <c r="J41" s="1310" t="s">
        <v>443</v>
      </c>
      <c r="K41" s="1310" t="s">
        <v>444</v>
      </c>
      <c r="L41" s="1310" t="s">
        <v>423</v>
      </c>
      <c r="Q41" s="376"/>
      <c r="R41" s="376"/>
      <c r="S41" s="2292"/>
      <c r="T41" s="2228"/>
      <c r="U41" s="302"/>
      <c r="V41" s="2280"/>
      <c r="W41" s="2303"/>
      <c r="X41" s="1935" t="s">
        <v>445</v>
      </c>
      <c r="Y41" s="1935" t="s">
        <v>446</v>
      </c>
      <c r="Z41" s="1935" t="s">
        <v>447</v>
      </c>
      <c r="AA41" s="2289" t="s">
        <v>448</v>
      </c>
      <c r="AB41" s="2290"/>
      <c r="AC41" s="2298"/>
      <c r="AD41" s="2280"/>
      <c r="AE41" s="2303"/>
      <c r="AF41" s="1935" t="s">
        <v>445</v>
      </c>
      <c r="AG41" s="1935" t="s">
        <v>446</v>
      </c>
      <c r="AH41" s="1935" t="s">
        <v>447</v>
      </c>
      <c r="AI41" s="2289" t="s">
        <v>448</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110</v>
      </c>
      <c r="T42" s="1255" t="s">
        <v>111</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217</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130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402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404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309"/>
      <c r="F47" s="2309"/>
      <c r="G47" s="2309"/>
      <c r="H47" s="2309"/>
      <c r="I47" s="2146" t="str">
        <f>S46&amp;".1"</f>
        <v>....1</v>
      </c>
      <c r="J47" s="1267"/>
      <c r="K47" s="1267"/>
      <c r="L47" s="1310" t="s">
        <v>408</v>
      </c>
      <c r="P47" s="2276">
        <v>1</v>
      </c>
      <c r="Q47" s="1951"/>
      <c r="R47" s="356"/>
      <c r="S47" s="1955" t="str">
        <f>$I47</f>
        <v>....1</v>
      </c>
      <c r="T47" s="285" t="s">
        <v>409</v>
      </c>
      <c r="U47" s="300"/>
      <c r="V47" s="2264"/>
      <c r="W47" s="2265"/>
      <c r="X47" s="2265"/>
      <c r="Y47" s="2265"/>
      <c r="Z47" s="2265"/>
      <c r="AA47" s="2265"/>
      <c r="AB47" s="2265"/>
      <c r="AC47" s="2266"/>
      <c r="AD47" s="2264"/>
      <c r="AE47" s="2265"/>
      <c r="AF47" s="2265"/>
      <c r="AG47" s="2265"/>
      <c r="AH47" s="2265"/>
      <c r="AI47" s="2265"/>
      <c r="AJ47" s="2265"/>
      <c r="AK47" s="2265"/>
      <c r="AL47" s="2266"/>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309"/>
      <c r="F48" s="2309"/>
      <c r="G48" s="2309"/>
      <c r="H48" s="2309"/>
      <c r="I48" s="2120"/>
      <c r="J48" s="2146" t="str">
        <f>I47&amp;".1"</f>
        <v>....1.1</v>
      </c>
      <c r="K48" s="1267"/>
      <c r="L48" s="1310" t="s">
        <v>411</v>
      </c>
      <c r="P48" s="2276"/>
      <c r="Q48" s="2276">
        <v>1</v>
      </c>
      <c r="R48" s="357"/>
      <c r="S48" s="1955" t="str">
        <f>$J48</f>
        <v>....1.1</v>
      </c>
      <c r="T48" s="286" t="s">
        <v>412</v>
      </c>
      <c r="U48" s="300"/>
      <c r="V48" s="2264"/>
      <c r="W48" s="2265"/>
      <c r="X48" s="2265"/>
      <c r="Y48" s="2265"/>
      <c r="Z48" s="2265"/>
      <c r="AA48" s="2265"/>
      <c r="AB48" s="2265"/>
      <c r="AC48" s="2266"/>
      <c r="AD48" s="2264"/>
      <c r="AE48" s="2265"/>
      <c r="AF48" s="2265"/>
      <c r="AG48" s="2265"/>
      <c r="AH48" s="2265"/>
      <c r="AI48" s="2265"/>
      <c r="AJ48" s="2265"/>
      <c r="AK48" s="2265"/>
      <c r="AL48" s="2266"/>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309"/>
      <c r="F49" s="2309"/>
      <c r="G49" s="2309"/>
      <c r="H49" s="2309"/>
      <c r="I49" s="2120"/>
      <c r="J49" s="2120"/>
      <c r="K49" s="2146" t="str">
        <f>J48&amp;".1"</f>
        <v>....1.1.1</v>
      </c>
      <c r="L49" s="1310" t="s">
        <v>414</v>
      </c>
      <c r="P49" s="2276"/>
      <c r="Q49" s="2276"/>
      <c r="R49" s="357">
        <v>1</v>
      </c>
      <c r="S49" s="1955" t="str">
        <f>$K49</f>
        <v>....1.1.1</v>
      </c>
      <c r="T49" s="1347"/>
      <c r="U49" s="300"/>
      <c r="V49" s="751"/>
      <c r="W49" s="325"/>
      <c r="X49" s="751"/>
      <c r="Y49" s="1257"/>
      <c r="Z49" s="2284"/>
      <c r="AA49" s="2126" t="s">
        <v>66</v>
      </c>
      <c r="AB49" s="2284"/>
      <c r="AC49" s="2126" t="s">
        <v>66</v>
      </c>
      <c r="AD49" s="751"/>
      <c r="AE49" s="325"/>
      <c r="AF49" s="751"/>
      <c r="AG49" s="1257"/>
      <c r="AH49" s="2284"/>
      <c r="AI49" s="2126" t="s">
        <v>66</v>
      </c>
      <c r="AJ49" s="2306"/>
      <c r="AK49" s="2126" t="s">
        <v>66</v>
      </c>
      <c r="AL49" s="1348"/>
      <c r="AM49" s="2272"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217</v>
      </c>
      <c r="B51" s="1267" t="s">
        <v>218</v>
      </c>
      <c r="C51" s="1267" t="s">
        <v>219</v>
      </c>
      <c r="D51" s="1267" t="s">
        <v>220</v>
      </c>
      <c r="E51" s="2309"/>
      <c r="F51" s="2309"/>
      <c r="G51" s="2309"/>
      <c r="H51" s="2309"/>
      <c r="I51" s="2120"/>
      <c r="J51" s="2146"/>
      <c r="K51" s="1267"/>
      <c r="L51" s="1310"/>
      <c r="P51" s="2276"/>
      <c r="Q51" s="2276"/>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309"/>
      <c r="F52" s="2309"/>
      <c r="G52" s="2309"/>
      <c r="H52" s="2309"/>
      <c r="I52" s="2146"/>
      <c r="J52" s="1267"/>
      <c r="K52" s="1267"/>
      <c r="L52" s="1310"/>
      <c r="P52" s="2276"/>
      <c r="Q52" s="1951"/>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309"/>
      <c r="F53" s="2309"/>
      <c r="G53" s="2309"/>
      <c r="H53" s="2308"/>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1"/>
      <c r="E54" s="2309"/>
      <c r="F54" s="2309"/>
      <c r="G54" s="2308"/>
      <c r="H54" s="1971"/>
      <c r="I54" s="1971"/>
      <c r="J54" s="1971"/>
      <c r="K54" s="1971"/>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1"/>
      <c r="D55" s="1971"/>
      <c r="E55" s="2309"/>
      <c r="F55" s="2308"/>
      <c r="G55" s="1971"/>
      <c r="H55" s="1971"/>
      <c r="I55" s="1971"/>
      <c r="J55" s="1971"/>
      <c r="K55" s="1971"/>
      <c r="L55" s="1380"/>
      <c r="M55" s="1972"/>
      <c r="N55" s="1972"/>
      <c r="O55" s="1635"/>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308"/>
      <c r="F56" s="1267"/>
      <c r="G56" s="1267"/>
      <c r="H56" s="1267"/>
      <c r="I56" s="1267"/>
      <c r="J56" s="1267"/>
      <c r="K56" s="1267"/>
      <c r="L56" s="1310"/>
      <c r="M56" s="1972"/>
      <c r="N56" s="1972"/>
      <c r="O56" s="1635"/>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05E44-5BB8-8528-0FF8-C0437EA23A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401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407</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408</v>
      </c>
      <c r="M6" s="537"/>
      <c r="P6" s="2276">
        <v>1</v>
      </c>
      <c r="Q6" s="1331"/>
      <c r="R6" s="356"/>
      <c r="S6" s="1336">
        <f>$I6</f>
      </c>
      <c r="T6" s="285" t="s">
        <v>409</v>
      </c>
      <c r="U6" s="300"/>
      <c r="V6" s="2264"/>
      <c r="W6" s="2265"/>
      <c r="X6" s="2265"/>
      <c r="Y6" s="2265"/>
      <c r="Z6" s="2265"/>
      <c r="AA6" s="2265"/>
      <c r="AB6" s="2265"/>
      <c r="AC6" s="2266"/>
      <c r="AD6" s="2264"/>
      <c r="AE6" s="2265"/>
      <c r="AF6" s="2265"/>
      <c r="AG6" s="2265"/>
      <c r="AH6" s="2265"/>
      <c r="AI6" s="2265"/>
      <c r="AJ6" s="2265"/>
      <c r="AK6" s="2265"/>
      <c r="AL6" s="2266"/>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411</v>
      </c>
      <c r="M7" s="537"/>
      <c r="N7" s="1366"/>
      <c r="P7" s="2276"/>
      <c r="Q7" s="2276">
        <v>1</v>
      </c>
      <c r="R7" s="357"/>
      <c r="S7" s="1336">
        <f>$J7</f>
      </c>
      <c r="T7" s="286" t="s">
        <v>412</v>
      </c>
      <c r="U7" s="300"/>
      <c r="V7" s="2264"/>
      <c r="W7" s="2265"/>
      <c r="X7" s="2265"/>
      <c r="Y7" s="2265"/>
      <c r="Z7" s="2265"/>
      <c r="AA7" s="2265"/>
      <c r="AB7" s="2265"/>
      <c r="AC7" s="2266"/>
      <c r="AD7" s="2264"/>
      <c r="AE7" s="2265"/>
      <c r="AF7" s="2265"/>
      <c r="AG7" s="2265"/>
      <c r="AH7" s="2265"/>
      <c r="AI7" s="2265"/>
      <c r="AJ7" s="2265"/>
      <c r="AK7" s="2265"/>
      <c r="AL7" s="2266"/>
      <c r="AM7" s="1258" t="s">
        <v>413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414</v>
      </c>
      <c r="M8" s="537"/>
      <c r="N8" s="1366"/>
      <c r="O8" s="1366"/>
      <c r="P8" s="2276"/>
      <c r="Q8" s="2276"/>
      <c r="R8" s="357">
        <v>1</v>
      </c>
      <c r="S8" s="1336">
        <f>$K8</f>
      </c>
      <c r="T8" s="1347"/>
      <c r="U8" s="300"/>
      <c r="V8" s="325"/>
      <c r="W8" s="751"/>
      <c r="X8" s="325"/>
      <c r="Y8" s="384"/>
      <c r="Z8" s="2284"/>
      <c r="AA8" s="2126" t="s">
        <v>66</v>
      </c>
      <c r="AB8" s="2284"/>
      <c r="AC8" s="2126" t="s">
        <v>66</v>
      </c>
      <c r="AD8" s="325"/>
      <c r="AE8" s="751"/>
      <c r="AF8" s="325"/>
      <c r="AG8" s="384"/>
      <c r="AH8" s="2284"/>
      <c r="AI8" s="2126" t="s">
        <v>66</v>
      </c>
      <c r="AJ8" s="2284"/>
      <c r="AK8" s="2126" t="s">
        <v>66</v>
      </c>
      <c r="AL8" s="325"/>
      <c r="AM8" s="2272" t="s">
        <v>415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66</v>
      </c>
      <c r="AJ17" s="2286"/>
      <c r="AK17" s="2287" t="s">
        <v>66</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28</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306</v>
      </c>
      <c r="AS38" s="1155">
        <v>14</v>
      </c>
    </row>
    <row customHeight="1" ht="14.699999999999998">
      <c r="Q39" s="376"/>
      <c r="R39" s="376"/>
      <c r="S39" s="2292" t="s">
        <v>89</v>
      </c>
      <c r="T39" s="2228" t="s">
        <v>429</v>
      </c>
      <c r="U39" s="301"/>
      <c r="V39" s="2293" t="s">
        <v>430</v>
      </c>
      <c r="W39" s="2294"/>
      <c r="X39" s="2310"/>
      <c r="Y39" s="2310"/>
      <c r="Z39" s="2294"/>
      <c r="AA39" s="2294"/>
      <c r="AB39" s="2295"/>
      <c r="AC39" s="2296" t="s">
        <v>431</v>
      </c>
      <c r="AD39" s="2293" t="s">
        <v>430</v>
      </c>
      <c r="AE39" s="2294"/>
      <c r="AF39" s="2310"/>
      <c r="AG39" s="2310"/>
      <c r="AH39" s="2294"/>
      <c r="AI39" s="2294"/>
      <c r="AJ39" s="2295"/>
      <c r="AK39" s="2296" t="s">
        <v>432</v>
      </c>
      <c r="AL39" s="2299" t="s">
        <v>433</v>
      </c>
      <c r="AM39" s="2146"/>
      <c r="AS39" s="1155">
        <v>14</v>
      </c>
    </row>
    <row customHeight="1" ht="24">
      <c r="Q40" s="376"/>
      <c r="R40" s="376"/>
      <c r="S40" s="2292"/>
      <c r="T40" s="2228"/>
      <c r="U40" s="1031"/>
      <c r="V40" s="2311" t="s">
        <v>434</v>
      </c>
      <c r="W40" s="2313" t="s">
        <v>435</v>
      </c>
      <c r="X40" s="1376" t="s">
        <v>436</v>
      </c>
      <c r="Y40" s="1376"/>
      <c r="Z40" s="2288" t="s">
        <v>437</v>
      </c>
      <c r="AA40" s="2288"/>
      <c r="AB40" s="2282"/>
      <c r="AC40" s="2297"/>
      <c r="AD40" s="2311" t="s">
        <v>434</v>
      </c>
      <c r="AE40" s="2313" t="s">
        <v>435</v>
      </c>
      <c r="AF40" s="1376" t="s">
        <v>436</v>
      </c>
      <c r="AG40" s="1376"/>
      <c r="AH40" s="2288" t="s">
        <v>437</v>
      </c>
      <c r="AI40" s="2288"/>
      <c r="AJ40" s="2282"/>
      <c r="AK40" s="2297"/>
      <c r="AL40" s="2300"/>
      <c r="AM40" s="2146"/>
      <c r="AS40" s="1155">
        <v>23</v>
      </c>
    </row>
    <row s="1266" customFormat="1" customHeight="1" ht="24">
      <c r="A41" s="1370"/>
      <c r="B41" s="1370" t="s">
        <v>142</v>
      </c>
      <c r="C41" s="1370" t="s">
        <v>143</v>
      </c>
      <c r="D41" s="1370" t="s">
        <v>144</v>
      </c>
      <c r="E41" s="1364" t="s">
        <v>438</v>
      </c>
      <c r="F41" s="1364" t="s">
        <v>439</v>
      </c>
      <c r="G41" s="1364" t="s">
        <v>440</v>
      </c>
      <c r="H41" s="1364" t="s">
        <v>441</v>
      </c>
      <c r="I41" s="1364" t="s">
        <v>442</v>
      </c>
      <c r="J41" s="1364" t="s">
        <v>443</v>
      </c>
      <c r="K41" s="1364" t="s">
        <v>444</v>
      </c>
      <c r="L41" s="1364" t="s">
        <v>423</v>
      </c>
      <c r="M41" s="1362"/>
      <c r="N41" s="1362"/>
      <c r="O41" s="1362"/>
      <c r="P41" s="1328"/>
      <c r="Q41" s="376"/>
      <c r="R41" s="376"/>
      <c r="S41" s="2292"/>
      <c r="T41" s="2228"/>
      <c r="U41" s="302"/>
      <c r="V41" s="2312"/>
      <c r="W41" s="2314"/>
      <c r="X41" s="1373" t="s">
        <v>445</v>
      </c>
      <c r="Y41" s="1373" t="s">
        <v>446</v>
      </c>
      <c r="Z41" s="1334" t="s">
        <v>447</v>
      </c>
      <c r="AA41" s="2289" t="s">
        <v>448</v>
      </c>
      <c r="AB41" s="2290"/>
      <c r="AC41" s="2298"/>
      <c r="AD41" s="2312"/>
      <c r="AE41" s="2314"/>
      <c r="AF41" s="1373" t="s">
        <v>445</v>
      </c>
      <c r="AG41" s="1373" t="s">
        <v>446</v>
      </c>
      <c r="AH41" s="1334" t="s">
        <v>447</v>
      </c>
      <c r="AI41" s="2289" t="s">
        <v>448</v>
      </c>
      <c r="AJ41" s="2290"/>
      <c r="AK41" s="2298"/>
      <c r="AL41" s="2301"/>
      <c r="AM41" s="2146"/>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199</v>
      </c>
      <c r="B44" s="1363" t="s">
        <v>200</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403</v>
      </c>
      <c r="AO44" s="500"/>
      <c r="AP44" s="500" t="str">
        <f>IF(T44="","",T44)</f>
        <v>Территория действия тарифа</v>
      </c>
      <c r="AQ44" s="500"/>
      <c r="AR44" s="500"/>
      <c r="AS44" s="1155">
        <v>21</v>
      </c>
    </row>
    <row customHeight="1" ht="24">
      <c r="A45" s="1363" t="s">
        <v>199</v>
      </c>
      <c r="B45" s="1363" t="s">
        <v>200</v>
      </c>
      <c r="C45" s="1363" t="s">
        <v>201</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405</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407</v>
      </c>
      <c r="AO46" s="500"/>
      <c r="AP46" s="500" t="str">
        <f>IF(T46="","",T46)</f>
        <v>Источник тепловой энергии  </v>
      </c>
      <c r="AQ46" s="500"/>
      <c r="AR46" s="500"/>
      <c r="AS46" s="1155">
        <v>21</v>
      </c>
    </row>
    <row customHeight="1" ht="49.5">
      <c r="A47" s="1363" t="s">
        <v>199</v>
      </c>
      <c r="B47" s="1363" t="s">
        <v>200</v>
      </c>
      <c r="C47" s="1363" t="s">
        <v>201</v>
      </c>
      <c r="D47" s="1363" t="s">
        <v>202</v>
      </c>
      <c r="E47" s="2278"/>
      <c r="F47" s="2278"/>
      <c r="G47" s="2278"/>
      <c r="H47" s="2278"/>
      <c r="I47" s="2275" t="str">
        <f>S46&amp;".1"</f>
        <v>....1</v>
      </c>
      <c r="J47" s="1363"/>
      <c r="K47" s="1363"/>
      <c r="L47" s="1364" t="s">
        <v>408</v>
      </c>
      <c r="P47" s="2276">
        <v>1</v>
      </c>
      <c r="Q47" s="1331"/>
      <c r="R47" s="356"/>
      <c r="S47" s="1336" t="str">
        <f>$I47</f>
        <v>....1</v>
      </c>
      <c r="T47" s="285" t="s">
        <v>409</v>
      </c>
      <c r="U47" s="300"/>
      <c r="V47" s="2264"/>
      <c r="W47" s="2265"/>
      <c r="X47" s="2265"/>
      <c r="Y47" s="2265"/>
      <c r="Z47" s="2265"/>
      <c r="AA47" s="2265"/>
      <c r="AB47" s="2265"/>
      <c r="AC47" s="2266"/>
      <c r="AD47" s="2264"/>
      <c r="AE47" s="2265"/>
      <c r="AF47" s="2265"/>
      <c r="AG47" s="2265"/>
      <c r="AH47" s="2265"/>
      <c r="AI47" s="2265"/>
      <c r="AJ47" s="2265"/>
      <c r="AK47" s="2265"/>
      <c r="AL47" s="2266"/>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199</v>
      </c>
      <c r="B48" s="1363" t="s">
        <v>200</v>
      </c>
      <c r="C48" s="1363" t="s">
        <v>201</v>
      </c>
      <c r="D48" s="1363" t="s">
        <v>202</v>
      </c>
      <c r="E48" s="2278"/>
      <c r="F48" s="2278"/>
      <c r="G48" s="2278"/>
      <c r="H48" s="2278"/>
      <c r="I48" s="2305"/>
      <c r="J48" s="2275" t="str">
        <f>I47&amp;".1"</f>
        <v>....1.1</v>
      </c>
      <c r="K48" s="1363"/>
      <c r="L48" s="1364" t="s">
        <v>411</v>
      </c>
      <c r="P48" s="2276"/>
      <c r="Q48" s="2276">
        <v>1</v>
      </c>
      <c r="R48" s="357"/>
      <c r="S48" s="1336" t="str">
        <f>$J48</f>
        <v>....1.1</v>
      </c>
      <c r="T48" s="286" t="s">
        <v>412</v>
      </c>
      <c r="U48" s="300"/>
      <c r="V48" s="2264"/>
      <c r="W48" s="2265"/>
      <c r="X48" s="2265"/>
      <c r="Y48" s="2265"/>
      <c r="Z48" s="2265"/>
      <c r="AA48" s="2265"/>
      <c r="AB48" s="2265"/>
      <c r="AC48" s="2266"/>
      <c r="AD48" s="2264"/>
      <c r="AE48" s="2265"/>
      <c r="AF48" s="2265"/>
      <c r="AG48" s="2265"/>
      <c r="AH48" s="2265"/>
      <c r="AI48" s="2265"/>
      <c r="AJ48" s="2265"/>
      <c r="AK48" s="2265"/>
      <c r="AL48" s="2266"/>
      <c r="AM48" s="1258" t="s">
        <v>413</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78"/>
      <c r="F49" s="2278"/>
      <c r="G49" s="2278"/>
      <c r="H49" s="2278"/>
      <c r="I49" s="2305"/>
      <c r="J49" s="2305"/>
      <c r="K49" s="2275" t="str">
        <f>J48&amp;".1"</f>
        <v>....1.1.1</v>
      </c>
      <c r="L49" s="1364" t="s">
        <v>414</v>
      </c>
      <c r="P49" s="2276"/>
      <c r="Q49" s="2276"/>
      <c r="R49" s="357">
        <v>1</v>
      </c>
      <c r="S49" s="1336" t="str">
        <f>$K49</f>
        <v>....1.1.1</v>
      </c>
      <c r="T49" s="1347"/>
      <c r="U49" s="300"/>
      <c r="V49" s="325"/>
      <c r="W49" s="751"/>
      <c r="X49" s="325"/>
      <c r="Y49" s="384"/>
      <c r="Z49" s="2284"/>
      <c r="AA49" s="2126" t="s">
        <v>66</v>
      </c>
      <c r="AB49" s="2284"/>
      <c r="AC49" s="2126" t="s">
        <v>66</v>
      </c>
      <c r="AD49" s="325"/>
      <c r="AE49" s="751"/>
      <c r="AF49" s="325"/>
      <c r="AG49" s="384"/>
      <c r="AH49" s="2284"/>
      <c r="AI49" s="2126" t="s">
        <v>66</v>
      </c>
      <c r="AJ49" s="2306"/>
      <c r="AK49" s="2126" t="s">
        <v>66</v>
      </c>
      <c r="AL49" s="1348"/>
      <c r="AM49" s="2272" t="s">
        <v>415</v>
      </c>
      <c r="AN49" s="511">
        <f>STRCHECKDATE(V50:AL50)</f>
      </c>
      <c r="AO49" s="500"/>
      <c r="AP49" s="500" t="str">
        <f>IF(T49="","",T49)</f>
        <v/>
      </c>
      <c r="AQ49" s="500"/>
      <c r="AR49" s="500"/>
      <c r="AS49" s="1155">
        <v>21</v>
      </c>
    </row>
    <row customHeight="1" ht="1.05">
      <c r="A50" s="1363" t="s">
        <v>199</v>
      </c>
      <c r="B50" s="1363" t="s">
        <v>200</v>
      </c>
      <c r="C50" s="1363" t="s">
        <v>201</v>
      </c>
      <c r="D50" s="1363" t="s">
        <v>202</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199</v>
      </c>
      <c r="B51" s="1363" t="s">
        <v>200</v>
      </c>
      <c r="C51" s="1363" t="s">
        <v>201</v>
      </c>
      <c r="D51" s="1363" t="s">
        <v>202</v>
      </c>
      <c r="E51" s="2278"/>
      <c r="F51" s="2278"/>
      <c r="G51" s="2278"/>
      <c r="H51" s="2278"/>
      <c r="I51" s="2305"/>
      <c r="J51" s="2275"/>
      <c r="K51" s="1363"/>
      <c r="L51" s="1364"/>
      <c r="P51" s="2276"/>
      <c r="Q51" s="2276"/>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78"/>
      <c r="F52" s="2278"/>
      <c r="G52" s="2278"/>
      <c r="H52" s="2278"/>
      <c r="I52" s="2275"/>
      <c r="J52" s="1363"/>
      <c r="K52" s="1363"/>
      <c r="L52" s="1364"/>
      <c r="P52" s="2276"/>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199</v>
      </c>
      <c r="B53" s="1363" t="s">
        <v>200</v>
      </c>
      <c r="C53" s="1363" t="s">
        <v>201</v>
      </c>
      <c r="D53" s="1363" t="s">
        <v>202</v>
      </c>
      <c r="E53" s="2278"/>
      <c r="F53" s="2278"/>
      <c r="G53" s="2278"/>
      <c r="H53" s="2277"/>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199</v>
      </c>
      <c r="B54" s="1343" t="s">
        <v>200</v>
      </c>
      <c r="C54" s="1343" t="s">
        <v>201</v>
      </c>
      <c r="D54" s="1314"/>
      <c r="E54" s="2278"/>
      <c r="F54" s="2278"/>
      <c r="G54" s="2277"/>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78"/>
      <c r="F55" s="2277"/>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77"/>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78.7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75</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39.7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EFBED-86AE-1818-82BD-936504F452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401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407</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408</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411</v>
      </c>
      <c r="M7" s="537"/>
      <c r="N7" s="1366"/>
      <c r="P7" s="2276"/>
      <c r="Q7" s="2276">
        <v>1</v>
      </c>
      <c r="R7" s="357"/>
      <c r="S7" s="1336">
        <f>$J7</f>
      </c>
      <c r="T7" s="286" t="s">
        <v>412</v>
      </c>
      <c r="U7" s="300"/>
      <c r="V7" s="2264"/>
      <c r="W7" s="2265"/>
      <c r="X7" s="2265"/>
      <c r="Y7" s="2265"/>
      <c r="Z7" s="2265"/>
      <c r="AA7" s="2265"/>
      <c r="AB7" s="2265"/>
      <c r="AC7" s="2266"/>
      <c r="AD7" s="2264"/>
      <c r="AE7" s="2265"/>
      <c r="AF7" s="2265"/>
      <c r="AG7" s="2265"/>
      <c r="AH7" s="2265"/>
      <c r="AI7" s="2265"/>
      <c r="AJ7" s="2265"/>
      <c r="AK7" s="2265"/>
      <c r="AL7" s="2266"/>
      <c r="AM7" s="1258" t="s">
        <v>413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414</v>
      </c>
      <c r="M8" s="537"/>
      <c r="N8" s="1366"/>
      <c r="O8" s="1366"/>
      <c r="P8" s="2276"/>
      <c r="Q8" s="2276"/>
      <c r="R8" s="357">
        <v>1</v>
      </c>
      <c r="S8" s="1336">
        <f>$K8</f>
      </c>
      <c r="T8" s="1347"/>
      <c r="U8" s="300"/>
      <c r="V8" s="751"/>
      <c r="W8" s="325"/>
      <c r="X8" s="751"/>
      <c r="Y8" s="1257"/>
      <c r="Z8" s="2284"/>
      <c r="AA8" s="2126" t="s">
        <v>66</v>
      </c>
      <c r="AB8" s="2284"/>
      <c r="AC8" s="2126" t="s">
        <v>66</v>
      </c>
      <c r="AD8" s="751"/>
      <c r="AE8" s="325"/>
      <c r="AF8" s="751"/>
      <c r="AG8" s="1257"/>
      <c r="AH8" s="2284"/>
      <c r="AI8" s="2126" t="s">
        <v>66</v>
      </c>
      <c r="AJ8" s="2284"/>
      <c r="AK8" s="2126" t="s">
        <v>66</v>
      </c>
      <c r="AL8" s="325"/>
      <c r="AM8" s="2272" t="s">
        <v>415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66</v>
      </c>
      <c r="AJ17" s="2286"/>
      <c r="AK17" s="2287" t="s">
        <v>66</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60</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306</v>
      </c>
      <c r="AS38" s="1155">
        <v>14</v>
      </c>
    </row>
    <row customHeight="1" ht="14.699999999999998">
      <c r="Q39" s="376"/>
      <c r="R39" s="376"/>
      <c r="S39" s="2292" t="s">
        <v>89</v>
      </c>
      <c r="T39" s="2228" t="s">
        <v>429</v>
      </c>
      <c r="U39" s="301"/>
      <c r="V39" s="2293" t="s">
        <v>430</v>
      </c>
      <c r="W39" s="2294"/>
      <c r="X39" s="2294"/>
      <c r="Y39" s="2294"/>
      <c r="Z39" s="2294"/>
      <c r="AA39" s="2294"/>
      <c r="AB39" s="2295"/>
      <c r="AC39" s="2296" t="s">
        <v>431</v>
      </c>
      <c r="AD39" s="2293" t="s">
        <v>430</v>
      </c>
      <c r="AE39" s="2294"/>
      <c r="AF39" s="2294"/>
      <c r="AG39" s="2294"/>
      <c r="AH39" s="2294"/>
      <c r="AI39" s="2294"/>
      <c r="AJ39" s="2295"/>
      <c r="AK39" s="2296" t="s">
        <v>432</v>
      </c>
      <c r="AL39" s="2299" t="s">
        <v>433</v>
      </c>
      <c r="AM39" s="2146"/>
      <c r="AS39" s="1155">
        <v>14</v>
      </c>
    </row>
    <row customHeight="1" ht="35.699999999999996">
      <c r="Q40" s="376"/>
      <c r="R40" s="376"/>
      <c r="S40" s="2292"/>
      <c r="T40" s="2228"/>
      <c r="U40" s="1031"/>
      <c r="V40" s="2279" t="s">
        <v>451</v>
      </c>
      <c r="W40" s="2302"/>
      <c r="X40" s="2281" t="s">
        <v>436</v>
      </c>
      <c r="Y40" s="2282"/>
      <c r="Z40" s="2281" t="s">
        <v>437</v>
      </c>
      <c r="AA40" s="2288"/>
      <c r="AB40" s="2282"/>
      <c r="AC40" s="2297"/>
      <c r="AD40" s="2279" t="s">
        <v>451</v>
      </c>
      <c r="AE40" s="2302"/>
      <c r="AF40" s="2281" t="s">
        <v>436</v>
      </c>
      <c r="AG40" s="2282"/>
      <c r="AH40" s="2281" t="s">
        <v>437</v>
      </c>
      <c r="AI40" s="2288"/>
      <c r="AJ40" s="2282"/>
      <c r="AK40" s="2297"/>
      <c r="AL40" s="2300"/>
      <c r="AM40" s="2146"/>
      <c r="AS40" s="1155">
        <v>34</v>
      </c>
    </row>
    <row customHeight="1" ht="35.699999999999996">
      <c r="A41" s="1370"/>
      <c r="B41" s="1370" t="s">
        <v>142</v>
      </c>
      <c r="C41" s="1370" t="s">
        <v>143</v>
      </c>
      <c r="D41" s="1370" t="s">
        <v>144</v>
      </c>
      <c r="E41" s="1364" t="s">
        <v>438</v>
      </c>
      <c r="F41" s="1364" t="s">
        <v>439</v>
      </c>
      <c r="G41" s="1364" t="s">
        <v>440</v>
      </c>
      <c r="H41" s="1364" t="s">
        <v>441</v>
      </c>
      <c r="I41" s="1364" t="s">
        <v>442</v>
      </c>
      <c r="J41" s="1364" t="s">
        <v>443</v>
      </c>
      <c r="K41" s="1364" t="s">
        <v>444</v>
      </c>
      <c r="L41" s="1364" t="s">
        <v>423</v>
      </c>
      <c r="Q41" s="376"/>
      <c r="R41" s="376"/>
      <c r="S41" s="2292"/>
      <c r="T41" s="2228"/>
      <c r="U41" s="302"/>
      <c r="V41" s="2280"/>
      <c r="W41" s="2303"/>
      <c r="X41" s="1222" t="s">
        <v>445</v>
      </c>
      <c r="Y41" s="1222" t="s">
        <v>446</v>
      </c>
      <c r="Z41" s="1338" t="s">
        <v>447</v>
      </c>
      <c r="AA41" s="2289" t="s">
        <v>448</v>
      </c>
      <c r="AB41" s="2290"/>
      <c r="AC41" s="2298"/>
      <c r="AD41" s="2280"/>
      <c r="AE41" s="2303"/>
      <c r="AF41" s="1222" t="s">
        <v>445</v>
      </c>
      <c r="AG41" s="1222" t="s">
        <v>446</v>
      </c>
      <c r="AH41" s="1338" t="s">
        <v>447</v>
      </c>
      <c r="AI41" s="2289" t="s">
        <v>448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403</v>
      </c>
      <c r="AO44" s="500"/>
      <c r="AP44" s="500" t="str">
        <f>IF(T44="","",T44)</f>
        <v>Территория действия тарифа</v>
      </c>
      <c r="AQ44" s="500"/>
      <c r="AR44" s="500"/>
      <c r="AS44" s="1155">
        <v>21</v>
      </c>
    </row>
    <row customHeight="1" ht="24">
      <c r="A45" s="1363" t="s">
        <v>175</v>
      </c>
      <c r="B45" s="1363" t="s">
        <v>176</v>
      </c>
      <c r="C45" s="1363" t="s">
        <v>177</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405</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407</v>
      </c>
      <c r="AO46" s="500"/>
      <c r="AP46" s="500" t="str">
        <f>IF(T46="","",T46)</f>
        <v>Источник тепловой энергии  </v>
      </c>
      <c r="AQ46" s="500"/>
      <c r="AR46" s="500"/>
      <c r="AS46" s="1155">
        <v>21</v>
      </c>
    </row>
    <row s="1642" customFormat="1" customHeight="1" ht="0">
      <c r="A47" s="1343" t="s">
        <v>175</v>
      </c>
      <c r="B47" s="1343" t="s">
        <v>176</v>
      </c>
      <c r="C47" s="1343" t="s">
        <v>177</v>
      </c>
      <c r="D47" s="1343" t="s">
        <v>178</v>
      </c>
      <c r="E47" s="2278"/>
      <c r="F47" s="2278"/>
      <c r="G47" s="2278"/>
      <c r="H47" s="2278"/>
      <c r="I47" s="2275" t="str">
        <f>S46&amp;".1"</f>
        <v>....1</v>
      </c>
      <c r="J47" s="1343"/>
      <c r="K47" s="1343"/>
      <c r="L47" s="1346" t="s">
        <v>408</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175</v>
      </c>
      <c r="B48" s="1363" t="s">
        <v>176</v>
      </c>
      <c r="C48" s="1363" t="s">
        <v>177</v>
      </c>
      <c r="D48" s="1363" t="s">
        <v>178</v>
      </c>
      <c r="E48" s="2278"/>
      <c r="F48" s="2278"/>
      <c r="G48" s="2278"/>
      <c r="H48" s="2278"/>
      <c r="I48" s="2305"/>
      <c r="J48" s="2275" t="str">
        <f>S46&amp;".1"</f>
        <v>....1</v>
      </c>
      <c r="K48" s="1363"/>
      <c r="L48" s="1364" t="s">
        <v>411</v>
      </c>
      <c r="P48" s="2276"/>
      <c r="Q48" s="2276">
        <v>1</v>
      </c>
      <c r="R48" s="357"/>
      <c r="S48" s="1336" t="str">
        <f>$J48</f>
        <v>....1</v>
      </c>
      <c r="T48" s="286" t="s">
        <v>412</v>
      </c>
      <c r="U48" s="300"/>
      <c r="V48" s="2264"/>
      <c r="W48" s="2265"/>
      <c r="X48" s="2265"/>
      <c r="Y48" s="2265"/>
      <c r="Z48" s="2265"/>
      <c r="AA48" s="2265"/>
      <c r="AB48" s="2265"/>
      <c r="AC48" s="2266"/>
      <c r="AD48" s="2264"/>
      <c r="AE48" s="2265"/>
      <c r="AF48" s="2265"/>
      <c r="AG48" s="2265"/>
      <c r="AH48" s="2265"/>
      <c r="AI48" s="2265"/>
      <c r="AJ48" s="2265"/>
      <c r="AK48" s="2265"/>
      <c r="AL48" s="2266"/>
      <c r="AM48" s="1258" t="s">
        <v>413</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78"/>
      <c r="F49" s="2278"/>
      <c r="G49" s="2278"/>
      <c r="H49" s="2278"/>
      <c r="I49" s="2305"/>
      <c r="J49" s="2305"/>
      <c r="K49" s="2275" t="str">
        <f>J48&amp;".1"</f>
        <v>....1.1</v>
      </c>
      <c r="L49" s="1364" t="s">
        <v>414</v>
      </c>
      <c r="P49" s="2276"/>
      <c r="Q49" s="2276"/>
      <c r="R49" s="357">
        <v>1</v>
      </c>
      <c r="S49" s="1336" t="str">
        <f>$K49</f>
        <v>....1.1</v>
      </c>
      <c r="T49" s="1347"/>
      <c r="U49" s="300"/>
      <c r="V49" s="751"/>
      <c r="W49" s="325"/>
      <c r="X49" s="751"/>
      <c r="Y49" s="1257"/>
      <c r="Z49" s="2284"/>
      <c r="AA49" s="2126" t="s">
        <v>66</v>
      </c>
      <c r="AB49" s="2284"/>
      <c r="AC49" s="2126" t="s">
        <v>66</v>
      </c>
      <c r="AD49" s="751"/>
      <c r="AE49" s="325"/>
      <c r="AF49" s="751"/>
      <c r="AG49" s="1257"/>
      <c r="AH49" s="2284"/>
      <c r="AI49" s="2126" t="s">
        <v>66</v>
      </c>
      <c r="AJ49" s="2306"/>
      <c r="AK49" s="2126" t="s">
        <v>66</v>
      </c>
      <c r="AL49" s="1348"/>
      <c r="AM49" s="2272" t="s">
        <v>452</v>
      </c>
      <c r="AN49" s="511">
        <f>STRCHECKDATE(V50:AL50)</f>
      </c>
      <c r="AO49" s="500"/>
      <c r="AP49" s="500" t="str">
        <f>IF(T49="","",T49)</f>
        <v/>
      </c>
      <c r="AQ49" s="500"/>
      <c r="AR49" s="500"/>
      <c r="AS49" s="1155">
        <v>21</v>
      </c>
    </row>
    <row customHeight="1" ht="1.05">
      <c r="A50" s="1363" t="s">
        <v>175</v>
      </c>
      <c r="B50" s="1363" t="s">
        <v>176</v>
      </c>
      <c r="C50" s="1363" t="s">
        <v>177</v>
      </c>
      <c r="D50" s="1363" t="s">
        <v>178</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175</v>
      </c>
      <c r="B51" s="1363" t="s">
        <v>176</v>
      </c>
      <c r="C51" s="1363" t="s">
        <v>177</v>
      </c>
      <c r="D51" s="1363" t="s">
        <v>178</v>
      </c>
      <c r="E51" s="2278"/>
      <c r="F51" s="2278"/>
      <c r="G51" s="2278"/>
      <c r="H51" s="2278"/>
      <c r="I51" s="2305"/>
      <c r="J51" s="2275"/>
      <c r="K51" s="1363"/>
      <c r="L51" s="1364"/>
      <c r="P51" s="2276"/>
      <c r="Q51" s="2276"/>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78"/>
      <c r="F52" s="2278"/>
      <c r="G52" s="2278"/>
      <c r="H52" s="2278"/>
      <c r="I52" s="2275"/>
      <c r="J52" s="1363"/>
      <c r="K52" s="1363"/>
      <c r="L52" s="1364"/>
      <c r="P52" s="2276"/>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175</v>
      </c>
      <c r="B53" s="1363" t="s">
        <v>176</v>
      </c>
      <c r="C53" s="1363" t="s">
        <v>177</v>
      </c>
      <c r="D53" s="1363" t="s">
        <v>178</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175</v>
      </c>
      <c r="B54" s="1343" t="s">
        <v>176</v>
      </c>
      <c r="C54" s="1343" t="s">
        <v>177</v>
      </c>
      <c r="D54" s="1314"/>
      <c r="E54" s="2278"/>
      <c r="F54" s="2278"/>
      <c r="G54" s="2277"/>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78"/>
      <c r="F55" s="2277"/>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77"/>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19</v>
      </c>
    </row>
    <row customHeight="1" ht="29.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28</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D9798-82E8-5408-5DB8-81C91587E5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401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2005">
        <f>INDEX(PT_DIFFERENTIATION_NUM_CS,MATCH(C4,PT_DIFFERENTIATION_CS_ID,0))</f>
      </c>
      <c r="T4" s="2009" t="s">
        <v>404</v>
      </c>
      <c r="U4" s="2010"/>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58" t="s">
        <v>405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1635"/>
      <c r="S5" s="2004">
        <f>INDEX(PT_DIFFERENTIATION_NUM_IST_TE,MATCH(D5,PT_DIFFERENTIATION_IST_TE_ID,0))</f>
      </c>
      <c r="T5" s="310" t="s">
        <v>406</v>
      </c>
      <c r="U5" s="300"/>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07" t="s">
        <v>407</v>
      </c>
      <c r="AO5" s="500"/>
      <c r="AP5" s="500" t="str">
        <f>IF(T5="","",T5)</f>
        <v>Источник тепловой энергии  </v>
      </c>
      <c r="AQ5" s="500"/>
      <c r="AR5" s="500"/>
      <c r="AS5" s="1155">
        <v>0</v>
      </c>
    </row>
    <row customHeight="1" ht="0.75" hidden="1">
      <c r="A6" s="1363"/>
      <c r="B6" s="1363"/>
      <c r="C6" s="1363"/>
      <c r="D6" s="1363"/>
      <c r="E6" s="2278"/>
      <c r="F6" s="2278"/>
      <c r="G6" s="2278"/>
      <c r="H6" s="2278"/>
      <c r="I6" s="2275">
        <f>S5&amp;".1"</f>
      </c>
      <c r="J6" s="1363"/>
      <c r="K6" s="1363"/>
      <c r="L6" s="1364" t="s">
        <v>408</v>
      </c>
      <c r="M6" s="537"/>
      <c r="P6" s="2276">
        <v>1</v>
      </c>
      <c r="Q6" s="1331"/>
      <c r="R6" s="2003"/>
      <c r="S6" s="1042"/>
      <c r="T6" s="1383"/>
      <c r="U6" s="1384"/>
      <c r="V6" s="2323"/>
      <c r="W6" s="2323"/>
      <c r="X6" s="2323"/>
      <c r="Y6" s="2323"/>
      <c r="Z6" s="2323"/>
      <c r="AA6" s="2323"/>
      <c r="AB6" s="2323"/>
      <c r="AC6" s="2323"/>
      <c r="AD6" s="2323"/>
      <c r="AE6" s="2323"/>
      <c r="AF6" s="2323"/>
      <c r="AG6" s="2323"/>
      <c r="AH6" s="2323"/>
      <c r="AI6" s="2323"/>
      <c r="AJ6" s="2323"/>
      <c r="AK6" s="2323"/>
      <c r="AL6" s="2323"/>
      <c r="AM6" s="2008"/>
      <c r="AO6" s="500"/>
      <c r="AP6" s="500" t="str">
        <f>IF(T6="","",T6)</f>
        <v/>
      </c>
      <c r="AQ6" s="500"/>
      <c r="AR6" s="500"/>
      <c r="AS6" s="1155">
        <v>0</v>
      </c>
    </row>
    <row customHeight="1" ht="84" hidden="1">
      <c r="A7" s="1363"/>
      <c r="B7" s="1363"/>
      <c r="C7" s="1363"/>
      <c r="D7" s="1363"/>
      <c r="E7" s="2278"/>
      <c r="F7" s="2278"/>
      <c r="G7" s="2278"/>
      <c r="H7" s="2278"/>
      <c r="I7" s="2305"/>
      <c r="J7" s="2275">
        <f>I6&amp;".1"</f>
      </c>
      <c r="K7" s="1363"/>
      <c r="L7" s="1364" t="s">
        <v>411</v>
      </c>
      <c r="M7" s="537"/>
      <c r="N7" s="1366"/>
      <c r="P7" s="2276"/>
      <c r="Q7" s="2276">
        <v>1</v>
      </c>
      <c r="R7" s="1642"/>
      <c r="S7" s="2004">
        <f>$J7</f>
      </c>
      <c r="T7" s="286" t="s">
        <v>412</v>
      </c>
      <c r="U7" s="300"/>
      <c r="V7" s="2324"/>
      <c r="W7" s="2324"/>
      <c r="X7" s="2324"/>
      <c r="Y7" s="2324"/>
      <c r="Z7" s="2324"/>
      <c r="AA7" s="2324"/>
      <c r="AB7" s="2324"/>
      <c r="AC7" s="2324"/>
      <c r="AD7" s="2324"/>
      <c r="AE7" s="2324"/>
      <c r="AF7" s="2324"/>
      <c r="AG7" s="2324"/>
      <c r="AH7" s="2324"/>
      <c r="AI7" s="2324"/>
      <c r="AJ7" s="2324"/>
      <c r="AK7" s="2324"/>
      <c r="AL7" s="2324"/>
      <c r="AM7" s="2007" t="s">
        <v>413</v>
      </c>
      <c r="AO7" s="500"/>
      <c r="AP7" s="500" t="str">
        <f>IF(T7="","",T7)</f>
        <v>Группа потребителей</v>
      </c>
      <c r="AQ7" s="500"/>
      <c r="AR7" s="500"/>
      <c r="AS7" s="1155">
        <v>0</v>
      </c>
    </row>
    <row customHeight="1" ht="11.25" hidden="1">
      <c r="A8" s="1363"/>
      <c r="B8" s="1363"/>
      <c r="C8" s="1363"/>
      <c r="D8" s="1363"/>
      <c r="E8" s="2278"/>
      <c r="F8" s="2278"/>
      <c r="G8" s="2278"/>
      <c r="H8" s="2278"/>
      <c r="I8" s="2305"/>
      <c r="J8" s="2305"/>
      <c r="K8" s="2275">
        <f>J7&amp;".1"</f>
      </c>
      <c r="L8" s="1364" t="s">
        <v>414</v>
      </c>
      <c r="M8" s="537"/>
      <c r="N8" s="1366"/>
      <c r="O8" s="1366"/>
      <c r="P8" s="2276"/>
      <c r="Q8" s="2276"/>
      <c r="R8" s="357">
        <v>1</v>
      </c>
      <c r="S8" s="2006">
        <f>$K8</f>
      </c>
      <c r="T8" s="2011"/>
      <c r="U8" s="2012"/>
      <c r="V8" s="2013"/>
      <c r="W8" s="1349"/>
      <c r="X8" s="2013"/>
      <c r="Y8" s="2014"/>
      <c r="Z8" s="2325"/>
      <c r="AA8" s="2131" t="s">
        <v>66</v>
      </c>
      <c r="AB8" s="2325"/>
      <c r="AC8" s="2131" t="s">
        <v>66</v>
      </c>
      <c r="AD8" s="2013"/>
      <c r="AE8" s="1349"/>
      <c r="AF8" s="2013"/>
      <c r="AG8" s="2014"/>
      <c r="AH8" s="2325"/>
      <c r="AI8" s="2131" t="s">
        <v>66</v>
      </c>
      <c r="AJ8" s="2325"/>
      <c r="AK8" s="2131" t="s">
        <v>66</v>
      </c>
      <c r="AL8" s="1349"/>
      <c r="AM8" s="2272" t="s">
        <v>415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1.25" hidden="1">
      <c r="A10" s="1363"/>
      <c r="B10" s="1363"/>
      <c r="C10" s="1363"/>
      <c r="D10" s="1363"/>
      <c r="E10" s="2278"/>
      <c r="F10" s="2278"/>
      <c r="G10" s="2278"/>
      <c r="H10" s="2278"/>
      <c r="I10" s="2305"/>
      <c r="J10" s="2275"/>
      <c r="K10" s="1363"/>
      <c r="L10" s="1364"/>
      <c r="M10" s="537"/>
      <c r="N10" s="1366"/>
      <c r="P10" s="2276"/>
      <c r="Q10" s="2276"/>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66</v>
      </c>
      <c r="AJ17" s="2286"/>
      <c r="AK17" s="2287" t="s">
        <v>66</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3"/>
      <c r="AS26" s="1155">
        <v>52</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306</v>
      </c>
      <c r="AS38" s="1155">
        <v>14</v>
      </c>
    </row>
    <row customHeight="1" ht="14.699999999999998">
      <c r="Q39" s="376"/>
      <c r="R39" s="376"/>
      <c r="S39" s="2292" t="s">
        <v>89</v>
      </c>
      <c r="T39" s="2228" t="s">
        <v>429</v>
      </c>
      <c r="U39" s="301"/>
      <c r="V39" s="2293" t="s">
        <v>430</v>
      </c>
      <c r="W39" s="2294"/>
      <c r="X39" s="2294"/>
      <c r="Y39" s="2294"/>
      <c r="Z39" s="2294"/>
      <c r="AA39" s="2294"/>
      <c r="AB39" s="2295"/>
      <c r="AC39" s="2296" t="s">
        <v>431</v>
      </c>
      <c r="AD39" s="2293" t="s">
        <v>430</v>
      </c>
      <c r="AE39" s="2294"/>
      <c r="AF39" s="2294"/>
      <c r="AG39" s="2294"/>
      <c r="AH39" s="2294"/>
      <c r="AI39" s="2294"/>
      <c r="AJ39" s="2295"/>
      <c r="AK39" s="2296" t="s">
        <v>432</v>
      </c>
      <c r="AL39" s="2299" t="s">
        <v>433</v>
      </c>
      <c r="AM39" s="2146"/>
      <c r="AS39" s="1155">
        <v>14</v>
      </c>
    </row>
    <row customHeight="1" ht="35.699999999999996">
      <c r="Q40" s="376"/>
      <c r="R40" s="376"/>
      <c r="S40" s="2292"/>
      <c r="T40" s="2228"/>
      <c r="U40" s="1031"/>
      <c r="V40" s="2279" t="s">
        <v>434</v>
      </c>
      <c r="W40" s="2302"/>
      <c r="X40" s="2281" t="s">
        <v>436</v>
      </c>
      <c r="Y40" s="2282"/>
      <c r="Z40" s="2281" t="s">
        <v>437</v>
      </c>
      <c r="AA40" s="2288"/>
      <c r="AB40" s="2282"/>
      <c r="AC40" s="2297"/>
      <c r="AD40" s="2279" t="s">
        <v>434</v>
      </c>
      <c r="AE40" s="2302"/>
      <c r="AF40" s="2281" t="s">
        <v>436</v>
      </c>
      <c r="AG40" s="2282"/>
      <c r="AH40" s="2281" t="s">
        <v>437</v>
      </c>
      <c r="AI40" s="2288"/>
      <c r="AJ40" s="2282"/>
      <c r="AK40" s="2297"/>
      <c r="AL40" s="2300"/>
      <c r="AM40" s="2146"/>
      <c r="AS40" s="1155">
        <v>34</v>
      </c>
    </row>
    <row customHeight="1" ht="35.699999999999996">
      <c r="A41" s="1370"/>
      <c r="B41" s="1370" t="s">
        <v>142</v>
      </c>
      <c r="C41" s="1370" t="s">
        <v>143</v>
      </c>
      <c r="D41" s="1370" t="s">
        <v>144</v>
      </c>
      <c r="E41" s="1364" t="s">
        <v>438</v>
      </c>
      <c r="F41" s="1364" t="s">
        <v>439</v>
      </c>
      <c r="G41" s="1364" t="s">
        <v>440</v>
      </c>
      <c r="H41" s="1364" t="s">
        <v>441</v>
      </c>
      <c r="I41" s="1364" t="s">
        <v>442</v>
      </c>
      <c r="J41" s="1364" t="s">
        <v>443</v>
      </c>
      <c r="K41" s="1364" t="s">
        <v>444</v>
      </c>
      <c r="L41" s="1364" t="s">
        <v>423</v>
      </c>
      <c r="Q41" s="376"/>
      <c r="R41" s="376"/>
      <c r="S41" s="2292"/>
      <c r="T41" s="2228"/>
      <c r="U41" s="302"/>
      <c r="V41" s="2280"/>
      <c r="W41" s="2303"/>
      <c r="X41" s="1222" t="s">
        <v>445</v>
      </c>
      <c r="Y41" s="1222" t="s">
        <v>446</v>
      </c>
      <c r="Z41" s="1338" t="s">
        <v>447</v>
      </c>
      <c r="AA41" s="2289" t="s">
        <v>448</v>
      </c>
      <c r="AB41" s="2290"/>
      <c r="AC41" s="2298"/>
      <c r="AD41" s="2280"/>
      <c r="AE41" s="2303"/>
      <c r="AF41" s="1222" t="s">
        <v>445</v>
      </c>
      <c r="AG41" s="1222" t="s">
        <v>446</v>
      </c>
      <c r="AH41" s="1338" t="s">
        <v>447</v>
      </c>
      <c r="AI41" s="2289" t="s">
        <v>448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403</v>
      </c>
      <c r="AO44" s="500"/>
      <c r="AP44" s="500" t="str">
        <f>IF(T44="","",T44)</f>
        <v>Территория действия тарифа</v>
      </c>
      <c r="AQ44" s="500"/>
      <c r="AR44" s="500"/>
      <c r="AS44" s="1155">
        <v>21</v>
      </c>
    </row>
    <row customHeight="1" ht="24">
      <c r="A45" s="1363" t="s">
        <v>187</v>
      </c>
      <c r="B45" s="1363" t="s">
        <v>188</v>
      </c>
      <c r="C45" s="1363" t="s">
        <v>189</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405</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407</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78"/>
      <c r="F47" s="2278"/>
      <c r="G47" s="2278"/>
      <c r="H47" s="2278"/>
      <c r="I47" s="2275" t="str">
        <f>S46&amp;".1"</f>
        <v>....1</v>
      </c>
      <c r="J47" s="1343"/>
      <c r="K47" s="1343"/>
      <c r="L47" s="1346" t="s">
        <v>408</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187</v>
      </c>
      <c r="B48" s="1363" t="s">
        <v>188</v>
      </c>
      <c r="C48" s="1363" t="s">
        <v>189</v>
      </c>
      <c r="D48" s="1363" t="s">
        <v>190</v>
      </c>
      <c r="E48" s="2278"/>
      <c r="F48" s="2278"/>
      <c r="G48" s="2278"/>
      <c r="H48" s="2278"/>
      <c r="I48" s="2305"/>
      <c r="J48" s="2275" t="str">
        <f>S46&amp;".1"</f>
        <v>....1</v>
      </c>
      <c r="K48" s="1363"/>
      <c r="L48" s="1364" t="s">
        <v>411</v>
      </c>
      <c r="P48" s="2276"/>
      <c r="Q48" s="2276">
        <v>1</v>
      </c>
      <c r="R48" s="357"/>
      <c r="S48" s="1336" t="str">
        <f>$J48</f>
        <v>....1</v>
      </c>
      <c r="T48" s="286" t="s">
        <v>412</v>
      </c>
      <c r="U48" s="300"/>
      <c r="V48" s="2264"/>
      <c r="W48" s="2265"/>
      <c r="X48" s="2265"/>
      <c r="Y48" s="2265"/>
      <c r="Z48" s="2265"/>
      <c r="AA48" s="2265"/>
      <c r="AB48" s="2265"/>
      <c r="AC48" s="2266"/>
      <c r="AD48" s="2264"/>
      <c r="AE48" s="2265"/>
      <c r="AF48" s="2265"/>
      <c r="AG48" s="2265"/>
      <c r="AH48" s="2265"/>
      <c r="AI48" s="2265"/>
      <c r="AJ48" s="2265"/>
      <c r="AK48" s="2265"/>
      <c r="AL48" s="2266"/>
      <c r="AM48" s="1258" t="s">
        <v>413</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78"/>
      <c r="F49" s="2278"/>
      <c r="G49" s="2278"/>
      <c r="H49" s="2278"/>
      <c r="I49" s="2305"/>
      <c r="J49" s="2305"/>
      <c r="K49" s="2275" t="str">
        <f>J48&amp;".1"</f>
        <v>....1.1</v>
      </c>
      <c r="L49" s="1364" t="s">
        <v>414</v>
      </c>
      <c r="P49" s="2276"/>
      <c r="Q49" s="2276"/>
      <c r="R49" s="357">
        <v>1</v>
      </c>
      <c r="S49" s="1336" t="str">
        <f>$K49</f>
        <v>....1.1</v>
      </c>
      <c r="T49" s="1347"/>
      <c r="U49" s="300"/>
      <c r="V49" s="751"/>
      <c r="W49" s="325"/>
      <c r="X49" s="751"/>
      <c r="Y49" s="1257"/>
      <c r="Z49" s="2284"/>
      <c r="AA49" s="2126" t="s">
        <v>66</v>
      </c>
      <c r="AB49" s="2284"/>
      <c r="AC49" s="2126" t="s">
        <v>66</v>
      </c>
      <c r="AD49" s="751"/>
      <c r="AE49" s="325"/>
      <c r="AF49" s="751"/>
      <c r="AG49" s="1257"/>
      <c r="AH49" s="2284"/>
      <c r="AI49" s="2126" t="s">
        <v>66</v>
      </c>
      <c r="AJ49" s="2306"/>
      <c r="AK49" s="2126" t="s">
        <v>66</v>
      </c>
      <c r="AL49" s="1348"/>
      <c r="AM49" s="2272" t="s">
        <v>452</v>
      </c>
      <c r="AN49" s="511">
        <f>STRCHECKDATE(V50:AL50)</f>
      </c>
      <c r="AO49" s="500"/>
      <c r="AP49" s="500" t="str">
        <f>IF(T49="","",T49)</f>
        <v/>
      </c>
      <c r="AQ49" s="500"/>
      <c r="AR49" s="500"/>
      <c r="AS49" s="1155">
        <v>21</v>
      </c>
    </row>
    <row customHeight="1" ht="1.05">
      <c r="A50" s="1363" t="s">
        <v>187</v>
      </c>
      <c r="B50" s="1363" t="s">
        <v>188</v>
      </c>
      <c r="C50" s="1363" t="s">
        <v>189</v>
      </c>
      <c r="D50" s="1363" t="s">
        <v>190</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187</v>
      </c>
      <c r="B51" s="1363" t="s">
        <v>188</v>
      </c>
      <c r="C51" s="1363" t="s">
        <v>189</v>
      </c>
      <c r="D51" s="1363" t="s">
        <v>190</v>
      </c>
      <c r="E51" s="2278"/>
      <c r="F51" s="2278"/>
      <c r="G51" s="2278"/>
      <c r="H51" s="2278"/>
      <c r="I51" s="2305"/>
      <c r="J51" s="2275"/>
      <c r="K51" s="1363"/>
      <c r="L51" s="1364"/>
      <c r="P51" s="2276"/>
      <c r="Q51" s="2276"/>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78"/>
      <c r="F52" s="2278"/>
      <c r="G52" s="2278"/>
      <c r="H52" s="2278"/>
      <c r="I52" s="2275"/>
      <c r="J52" s="1363"/>
      <c r="K52" s="1363"/>
      <c r="L52" s="1364"/>
      <c r="P52" s="2276"/>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78"/>
      <c r="F54" s="2278"/>
      <c r="G54" s="2277"/>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78"/>
      <c r="F55" s="2277"/>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77"/>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22</v>
      </c>
    </row>
    <row customHeight="1" ht="30.4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29</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20DD8-ECD4-EE58-E7EE-F8EDAEDA8F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401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402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403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404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407</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408</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411</v>
      </c>
      <c r="M7" s="537"/>
      <c r="N7" s="1366"/>
      <c r="P7" s="2276"/>
      <c r="Q7" s="2276">
        <v>1</v>
      </c>
      <c r="R7" s="357"/>
      <c r="S7" s="1336">
        <f>$J7</f>
      </c>
      <c r="T7" s="286" t="s">
        <v>412</v>
      </c>
      <c r="U7" s="300"/>
      <c r="V7" s="2264"/>
      <c r="W7" s="2265"/>
      <c r="X7" s="2265"/>
      <c r="Y7" s="2265"/>
      <c r="Z7" s="2265"/>
      <c r="AA7" s="2265"/>
      <c r="AB7" s="2265"/>
      <c r="AC7" s="2266"/>
      <c r="AD7" s="2264"/>
      <c r="AE7" s="2265"/>
      <c r="AF7" s="2265"/>
      <c r="AG7" s="2265"/>
      <c r="AH7" s="2265"/>
      <c r="AI7" s="2265"/>
      <c r="AJ7" s="2265"/>
      <c r="AK7" s="2265"/>
      <c r="AL7" s="2266"/>
      <c r="AM7" s="1258" t="s">
        <v>413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414</v>
      </c>
      <c r="M8" s="537"/>
      <c r="N8" s="1366"/>
      <c r="O8" s="1366"/>
      <c r="P8" s="2276"/>
      <c r="Q8" s="2276"/>
      <c r="R8" s="357">
        <v>1</v>
      </c>
      <c r="S8" s="1336">
        <f>$K8</f>
      </c>
      <c r="T8" s="1347"/>
      <c r="U8" s="300"/>
      <c r="V8" s="751"/>
      <c r="W8" s="325"/>
      <c r="X8" s="751"/>
      <c r="Y8" s="1257"/>
      <c r="Z8" s="2284"/>
      <c r="AA8" s="2126" t="s">
        <v>66</v>
      </c>
      <c r="AB8" s="2284"/>
      <c r="AC8" s="2126" t="s">
        <v>66</v>
      </c>
      <c r="AD8" s="751"/>
      <c r="AE8" s="325"/>
      <c r="AF8" s="751"/>
      <c r="AG8" s="1257"/>
      <c r="AH8" s="2284"/>
      <c r="AI8" s="2126" t="s">
        <v>66</v>
      </c>
      <c r="AJ8" s="2284"/>
      <c r="AK8" s="2126" t="s">
        <v>66</v>
      </c>
      <c r="AL8" s="325"/>
      <c r="AM8" s="2272" t="s">
        <v>415</v>
      </c>
      <c r="AN8" s="511">
        <f>STRCHECKDATE(V9:AL9)</f>
      </c>
      <c r="AO8" s="500"/>
      <c r="AP8" s="500" t="str">
        <f>IF(T8="","",T8)</f>
        <v/>
      </c>
      <c r="AQ8" s="500"/>
      <c r="AR8" s="500"/>
      <c r="AS8" s="1155">
        <v>0</v>
      </c>
    </row>
    <row customHeight="1" ht="14.2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8"/>
      <c r="F13" s="2278"/>
      <c r="G13" s="2277"/>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8"/>
      <c r="F14" s="2277"/>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7"/>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66</v>
      </c>
      <c r="AJ17" s="2286"/>
      <c r="AK17" s="2287" t="s">
        <v>66</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51</v>
      </c>
    </row>
    <row customHeight="1" ht="14.699999999999998">
      <c r="Q27" s="376"/>
      <c r="R27" s="376"/>
      <c r="S27" s="2268" t="str">
        <f>IF(org=0,"Не определено",org)</f>
        <v>Муниципальное унитарное предприятие "Невельские коммунальные сети"</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306</v>
      </c>
      <c r="AS38" s="1155">
        <v>14</v>
      </c>
    </row>
    <row customHeight="1" ht="14.699999999999998">
      <c r="Q39" s="376"/>
      <c r="R39" s="376"/>
      <c r="S39" s="2292" t="s">
        <v>89</v>
      </c>
      <c r="T39" s="2228" t="s">
        <v>429</v>
      </c>
      <c r="U39" s="301"/>
      <c r="V39" s="2293" t="s">
        <v>430</v>
      </c>
      <c r="W39" s="2294"/>
      <c r="X39" s="2294"/>
      <c r="Y39" s="2294"/>
      <c r="Z39" s="2294"/>
      <c r="AA39" s="2294"/>
      <c r="AB39" s="2295"/>
      <c r="AC39" s="2296" t="s">
        <v>431</v>
      </c>
      <c r="AD39" s="2293" t="s">
        <v>430</v>
      </c>
      <c r="AE39" s="2294"/>
      <c r="AF39" s="2294"/>
      <c r="AG39" s="2294"/>
      <c r="AH39" s="2294"/>
      <c r="AI39" s="2294"/>
      <c r="AJ39" s="2295"/>
      <c r="AK39" s="2296" t="s">
        <v>432</v>
      </c>
      <c r="AL39" s="2299" t="s">
        <v>433</v>
      </c>
      <c r="AM39" s="2146"/>
      <c r="AS39" s="1155">
        <v>14</v>
      </c>
    </row>
    <row customHeight="1" ht="35.699999999999996">
      <c r="Q40" s="376"/>
      <c r="R40" s="376"/>
      <c r="S40" s="2292"/>
      <c r="T40" s="2228"/>
      <c r="U40" s="1031"/>
      <c r="V40" s="2279" t="s">
        <v>434</v>
      </c>
      <c r="W40" s="2302"/>
      <c r="X40" s="2281" t="s">
        <v>436</v>
      </c>
      <c r="Y40" s="2282"/>
      <c r="Z40" s="2281" t="s">
        <v>437</v>
      </c>
      <c r="AA40" s="2288"/>
      <c r="AB40" s="2282"/>
      <c r="AC40" s="2297"/>
      <c r="AD40" s="2279" t="s">
        <v>451</v>
      </c>
      <c r="AE40" s="2302"/>
      <c r="AF40" s="2281" t="s">
        <v>436</v>
      </c>
      <c r="AG40" s="2282"/>
      <c r="AH40" s="2281" t="s">
        <v>437</v>
      </c>
      <c r="AI40" s="2288"/>
      <c r="AJ40" s="2282"/>
      <c r="AK40" s="2297"/>
      <c r="AL40" s="2300"/>
      <c r="AM40" s="2146"/>
      <c r="AS40" s="1155">
        <v>34</v>
      </c>
    </row>
    <row customHeight="1" ht="35.699999999999996">
      <c r="A41" s="1370"/>
      <c r="B41" s="1370" t="s">
        <v>142</v>
      </c>
      <c r="C41" s="1370" t="s">
        <v>143</v>
      </c>
      <c r="D41" s="1370" t="s">
        <v>144</v>
      </c>
      <c r="E41" s="1364" t="s">
        <v>438</v>
      </c>
      <c r="F41" s="1364" t="s">
        <v>439</v>
      </c>
      <c r="G41" s="1364" t="s">
        <v>440</v>
      </c>
      <c r="H41" s="1364" t="s">
        <v>441</v>
      </c>
      <c r="I41" s="1364" t="s">
        <v>442</v>
      </c>
      <c r="J41" s="1364" t="s">
        <v>443</v>
      </c>
      <c r="K41" s="1364" t="s">
        <v>444</v>
      </c>
      <c r="L41" s="1364" t="s">
        <v>423</v>
      </c>
      <c r="Q41" s="376"/>
      <c r="R41" s="376"/>
      <c r="S41" s="2292"/>
      <c r="T41" s="2228"/>
      <c r="U41" s="302"/>
      <c r="V41" s="2280"/>
      <c r="W41" s="2303"/>
      <c r="X41" s="1222" t="s">
        <v>445</v>
      </c>
      <c r="Y41" s="1222" t="s">
        <v>446</v>
      </c>
      <c r="Z41" s="1338" t="s">
        <v>447</v>
      </c>
      <c r="AA41" s="2289" t="s">
        <v>448</v>
      </c>
      <c r="AB41" s="2290"/>
      <c r="AC41" s="2298"/>
      <c r="AD41" s="2280"/>
      <c r="AE41" s="2303"/>
      <c r="AF41" s="1222" t="s">
        <v>445</v>
      </c>
      <c r="AG41" s="1222" t="s">
        <v>446</v>
      </c>
      <c r="AH41" s="1338" t="s">
        <v>447</v>
      </c>
      <c r="AI41" s="2289" t="s">
        <v>448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403</v>
      </c>
      <c r="AO44" s="500"/>
      <c r="AP44" s="500" t="str">
        <f>IF(T44="","",T44)</f>
        <v>Территория действия тарифа</v>
      </c>
      <c r="AQ44" s="500"/>
      <c r="AR44" s="500"/>
      <c r="AS44" s="1155">
        <v>21</v>
      </c>
    </row>
    <row customHeight="1" ht="24">
      <c r="A45" s="1363" t="s">
        <v>193</v>
      </c>
      <c r="B45" s="1363" t="s">
        <v>194</v>
      </c>
      <c r="C45" s="1363" t="s">
        <v>195</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405</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407</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78"/>
      <c r="F47" s="2278"/>
      <c r="G47" s="2278"/>
      <c r="H47" s="2278"/>
      <c r="I47" s="2275" t="str">
        <f>S46&amp;".1"</f>
        <v>....1</v>
      </c>
      <c r="J47" s="1343"/>
      <c r="K47" s="1343"/>
      <c r="L47" s="1346" t="s">
        <v>408</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193</v>
      </c>
      <c r="B48" s="1363" t="s">
        <v>194</v>
      </c>
      <c r="C48" s="1363" t="s">
        <v>195</v>
      </c>
      <c r="D48" s="1363" t="s">
        <v>196</v>
      </c>
      <c r="E48" s="2278"/>
      <c r="F48" s="2278"/>
      <c r="G48" s="2278"/>
      <c r="H48" s="2278"/>
      <c r="I48" s="2305"/>
      <c r="J48" s="2275" t="str">
        <f>S46&amp;".1"</f>
        <v>....1</v>
      </c>
      <c r="K48" s="1363"/>
      <c r="L48" s="1364" t="s">
        <v>411</v>
      </c>
      <c r="P48" s="2276"/>
      <c r="Q48" s="2276">
        <v>1</v>
      </c>
      <c r="R48" s="357"/>
      <c r="S48" s="1336" t="str">
        <f>$J48</f>
        <v>....1</v>
      </c>
      <c r="T48" s="286" t="s">
        <v>412</v>
      </c>
      <c r="U48" s="300"/>
      <c r="V48" s="2264"/>
      <c r="W48" s="2265"/>
      <c r="X48" s="2265"/>
      <c r="Y48" s="2265"/>
      <c r="Z48" s="2265"/>
      <c r="AA48" s="2265"/>
      <c r="AB48" s="2265"/>
      <c r="AC48" s="2266"/>
      <c r="AD48" s="2264"/>
      <c r="AE48" s="2265"/>
      <c r="AF48" s="2265"/>
      <c r="AG48" s="2265"/>
      <c r="AH48" s="2265"/>
      <c r="AI48" s="2265"/>
      <c r="AJ48" s="2265"/>
      <c r="AK48" s="2265"/>
      <c r="AL48" s="2266"/>
      <c r="AM48" s="1258" t="s">
        <v>413</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78"/>
      <c r="F49" s="2278"/>
      <c r="G49" s="2278"/>
      <c r="H49" s="2278"/>
      <c r="I49" s="2305"/>
      <c r="J49" s="2305"/>
      <c r="K49" s="2275" t="str">
        <f>J48&amp;".1"</f>
        <v>....1.1</v>
      </c>
      <c r="L49" s="1364" t="s">
        <v>414</v>
      </c>
      <c r="P49" s="2276"/>
      <c r="Q49" s="2276"/>
      <c r="R49" s="357">
        <v>1</v>
      </c>
      <c r="S49" s="1336" t="str">
        <f>$K49</f>
        <v>....1.1</v>
      </c>
      <c r="T49" s="1347"/>
      <c r="U49" s="300"/>
      <c r="V49" s="751"/>
      <c r="W49" s="325"/>
      <c r="X49" s="751"/>
      <c r="Y49" s="1257"/>
      <c r="Z49" s="2284"/>
      <c r="AA49" s="2126" t="s">
        <v>66</v>
      </c>
      <c r="AB49" s="2284"/>
      <c r="AC49" s="2126" t="s">
        <v>66</v>
      </c>
      <c r="AD49" s="751"/>
      <c r="AE49" s="325"/>
      <c r="AF49" s="751"/>
      <c r="AG49" s="1257"/>
      <c r="AH49" s="2284"/>
      <c r="AI49" s="2126" t="s">
        <v>66</v>
      </c>
      <c r="AJ49" s="2306"/>
      <c r="AK49" s="2126" t="s">
        <v>66</v>
      </c>
      <c r="AL49" s="1348"/>
      <c r="AM49" s="2272" t="s">
        <v>452</v>
      </c>
      <c r="AN49" s="511">
        <f>STRCHECKDATE(V50:AL50)</f>
      </c>
      <c r="AO49" s="500"/>
      <c r="AP49" s="500" t="str">
        <f>IF(T49="","",T49)</f>
        <v/>
      </c>
      <c r="AQ49" s="500"/>
      <c r="AR49" s="500"/>
      <c r="AS49" s="1155">
        <v>21</v>
      </c>
    </row>
    <row customHeight="1" ht="0">
      <c r="A50" s="1363" t="s">
        <v>193</v>
      </c>
      <c r="B50" s="1363" t="s">
        <v>194</v>
      </c>
      <c r="C50" s="1363" t="s">
        <v>195</v>
      </c>
      <c r="D50" s="1363" t="s">
        <v>196</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0</v>
      </c>
    </row>
    <row customHeight="1" ht="11.549999999999999">
      <c r="A51" s="1363" t="s">
        <v>193</v>
      </c>
      <c r="B51" s="1363" t="s">
        <v>194</v>
      </c>
      <c r="C51" s="1363" t="s">
        <v>195</v>
      </c>
      <c r="D51" s="1363" t="s">
        <v>196</v>
      </c>
      <c r="E51" s="2278"/>
      <c r="F51" s="2278"/>
      <c r="G51" s="2278"/>
      <c r="H51" s="2278"/>
      <c r="I51" s="2305"/>
      <c r="J51" s="2275"/>
      <c r="K51" s="1363"/>
      <c r="L51" s="1364"/>
      <c r="P51" s="2276"/>
      <c r="Q51" s="2276"/>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78"/>
      <c r="F52" s="2278"/>
      <c r="G52" s="2278"/>
      <c r="H52" s="2278"/>
      <c r="I52" s="2275"/>
      <c r="J52" s="1363"/>
      <c r="K52" s="1363"/>
      <c r="L52" s="1364"/>
      <c r="P52" s="2276"/>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193</v>
      </c>
      <c r="B54" s="1343" t="s">
        <v>194</v>
      </c>
      <c r="C54" s="1343" t="s">
        <v>195</v>
      </c>
      <c r="D54" s="1314"/>
      <c r="E54" s="2278"/>
      <c r="F54" s="2278"/>
      <c r="G54" s="2277"/>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193</v>
      </c>
      <c r="B55" s="1343" t="s">
        <v>194</v>
      </c>
      <c r="C55" s="1314"/>
      <c r="D55" s="1314"/>
      <c r="E55" s="2278"/>
      <c r="F55" s="2277"/>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193</v>
      </c>
      <c r="B56" s="1343"/>
      <c r="C56" s="1343"/>
      <c r="D56" s="1343"/>
      <c r="E56" s="2277"/>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14</v>
      </c>
    </row>
    <row customHeight="1" ht="14.699999999999998">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14</v>
      </c>
    </row>
    <row customHeight="1" ht="14.699999999999998">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14</v>
      </c>
    </row>
    <row customHeight="1" ht="14.699999999999998">
      <c r="O62" s="537"/>
      <c r="AS62" s="1155">
        <v>14</v>
      </c>
    </row>
    <row customHeight="1" ht="14.699999999999998">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14</v>
      </c>
    </row>
    <row customHeight="1" ht="14.699999999999998">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84BEF-3BD8-0808-E2E5-7969E5AAE2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44" width="3.00390625" customWidth="1"/>
    <col min="21" max="21" style="2426"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08">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130</v>
      </c>
      <c r="W2" s="300"/>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58" t="s">
        <v>401</v>
      </c>
      <c r="AS2" s="500"/>
      <c r="AT2" s="500" t="str">
        <f>IF(V2="","",V2)</f>
        <v>Наименование тарифа</v>
      </c>
      <c r="AU2" s="500"/>
      <c r="AV2" s="500"/>
      <c r="AW2" s="1155">
        <v>0</v>
      </c>
    </row>
    <row customHeight="1" ht="21" hidden="1">
      <c r="A3" s="1267"/>
      <c r="B3" s="1267"/>
      <c r="C3" s="1267"/>
      <c r="D3" s="1267"/>
      <c r="E3" s="2309"/>
      <c r="F3" s="2308">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58" t="s">
        <v>403</v>
      </c>
      <c r="AS3" s="500"/>
      <c r="AT3" s="500" t="str">
        <f>IF(V3="","",V3)</f>
        <v>Территория действия тарифа</v>
      </c>
      <c r="AU3" s="500"/>
      <c r="AV3" s="500"/>
      <c r="AW3" s="1155">
        <v>0</v>
      </c>
    </row>
    <row customHeight="1" ht="22.5" hidden="1">
      <c r="A4" s="1267"/>
      <c r="B4" s="1267"/>
      <c r="C4" s="1267"/>
      <c r="D4" s="1267"/>
      <c r="E4" s="2309"/>
      <c r="F4" s="2309"/>
      <c r="G4" s="2308">
        <v>1</v>
      </c>
      <c r="H4" s="1267"/>
      <c r="I4" s="1267"/>
      <c r="J4" s="1267"/>
      <c r="K4" s="1267"/>
      <c r="L4" s="1267"/>
      <c r="M4" s="1310"/>
      <c r="N4" s="688"/>
      <c r="O4" s="688"/>
      <c r="P4" s="688"/>
      <c r="Q4" s="354"/>
      <c r="R4" s="352"/>
      <c r="S4" s="509"/>
      <c r="T4" s="353"/>
      <c r="U4" s="1336">
        <f>INDEX(PT_DIFFERENTIATION_NUM_CS,MATCH(C4,PT_DIFFERENTIATION_CS_ID,0))</f>
      </c>
      <c r="V4" s="309" t="s">
        <v>404</v>
      </c>
      <c r="W4" s="300"/>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58" t="s">
        <v>405</v>
      </c>
      <c r="AS4" s="500"/>
      <c r="AT4" s="500" t="str">
        <f>IF(V4="","",V4)</f>
        <v>Наименование системы теплоснабжения </v>
      </c>
      <c r="AU4" s="500"/>
      <c r="AV4" s="500"/>
      <c r="AW4" s="1155">
        <v>0</v>
      </c>
    </row>
    <row customHeight="1" ht="21" hidden="1">
      <c r="A5" s="1267"/>
      <c r="B5" s="1267"/>
      <c r="C5" s="1267"/>
      <c r="D5" s="1267"/>
      <c r="E5" s="2309"/>
      <c r="F5" s="2309"/>
      <c r="G5" s="2309"/>
      <c r="H5" s="2308">
        <v>1</v>
      </c>
      <c r="I5" s="1267"/>
      <c r="J5" s="1267"/>
      <c r="K5" s="1267"/>
      <c r="L5" s="1267"/>
      <c r="M5" s="1310"/>
      <c r="N5" s="688"/>
      <c r="O5" s="688"/>
      <c r="P5" s="688"/>
      <c r="Q5" s="354"/>
      <c r="R5" s="352"/>
      <c r="S5" s="509"/>
      <c r="T5" s="353"/>
      <c r="U5" s="1336">
        <f>INDEX(PT_DIFFERENTIATION_NUM_IST_TE,MATCH(D5,PT_DIFFERENTIATION_IST_TE_ID,0))</f>
      </c>
      <c r="V5" s="310" t="s">
        <v>406</v>
      </c>
      <c r="W5" s="300"/>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58" t="s">
        <v>407</v>
      </c>
      <c r="AS5" s="500"/>
      <c r="AT5" s="500" t="str">
        <f>IF(V5="","",V5)</f>
        <v>Источник тепловой энергии  </v>
      </c>
      <c r="AU5" s="500"/>
      <c r="AV5" s="500"/>
      <c r="AW5" s="1155">
        <v>0</v>
      </c>
    </row>
    <row customHeight="1" ht="14.25" hidden="1">
      <c r="A6" s="1267"/>
      <c r="B6" s="1267"/>
      <c r="C6" s="1267"/>
      <c r="D6" s="1267"/>
      <c r="E6" s="2309"/>
      <c r="F6" s="2309"/>
      <c r="G6" s="2309"/>
      <c r="H6" s="2309"/>
      <c r="I6" s="2146">
        <f>U5&amp;".1"</f>
      </c>
      <c r="J6" s="1267"/>
      <c r="K6" s="1267"/>
      <c r="L6" s="1267"/>
      <c r="M6" s="1310" t="s">
        <v>408</v>
      </c>
      <c r="N6" s="509"/>
      <c r="Q6" s="2276">
        <v>1</v>
      </c>
      <c r="R6" s="1331"/>
      <c r="S6" s="1331"/>
      <c r="T6" s="356"/>
      <c r="U6" s="1042"/>
      <c r="V6" s="1383"/>
      <c r="W6" s="1384"/>
      <c r="X6" s="2315"/>
      <c r="Y6" s="2316"/>
      <c r="Z6" s="2316"/>
      <c r="AA6" s="2316"/>
      <c r="AB6" s="2316"/>
      <c r="AC6" s="2316"/>
      <c r="AD6" s="2316"/>
      <c r="AE6" s="2316"/>
      <c r="AF6" s="2317"/>
      <c r="AG6" s="2315"/>
      <c r="AH6" s="2316"/>
      <c r="AI6" s="2316"/>
      <c r="AJ6" s="2316"/>
      <c r="AK6" s="2316"/>
      <c r="AL6" s="2316"/>
      <c r="AM6" s="2316"/>
      <c r="AN6" s="2316"/>
      <c r="AO6" s="2316"/>
      <c r="AP6" s="2317"/>
      <c r="AQ6" s="1385"/>
      <c r="AS6" s="500"/>
      <c r="AT6" s="500" t="str">
        <f>IF(V6="","",V6)</f>
        <v/>
      </c>
      <c r="AU6" s="500"/>
      <c r="AV6" s="500"/>
      <c r="AW6" s="1155">
        <v>0</v>
      </c>
    </row>
    <row customHeight="1" ht="21" hidden="1">
      <c r="A7" s="1267"/>
      <c r="B7" s="1267"/>
      <c r="C7" s="1267"/>
      <c r="D7" s="1267"/>
      <c r="E7" s="2309"/>
      <c r="F7" s="2309"/>
      <c r="G7" s="2309"/>
      <c r="H7" s="2309"/>
      <c r="I7" s="2120"/>
      <c r="J7" s="2146">
        <f>I6&amp;".1"</f>
      </c>
      <c r="K7" s="1267"/>
      <c r="L7" s="1267"/>
      <c r="M7" s="1310" t="s">
        <v>411</v>
      </c>
      <c r="N7" s="509"/>
      <c r="O7" s="327"/>
      <c r="Q7" s="2276"/>
      <c r="R7" s="2276">
        <v>1</v>
      </c>
      <c r="S7" s="518"/>
      <c r="T7" s="357"/>
      <c r="U7" s="1336">
        <f>$J7</f>
      </c>
      <c r="V7" s="286" t="s">
        <v>412</v>
      </c>
      <c r="W7" s="300"/>
      <c r="X7" s="2264"/>
      <c r="Y7" s="2265"/>
      <c r="Z7" s="2265"/>
      <c r="AA7" s="2265"/>
      <c r="AB7" s="2265"/>
      <c r="AC7" s="2254"/>
      <c r="AD7" s="2254"/>
      <c r="AE7" s="2254"/>
      <c r="AF7" s="2327"/>
      <c r="AG7" s="2264"/>
      <c r="AH7" s="2265"/>
      <c r="AI7" s="2265"/>
      <c r="AJ7" s="2265"/>
      <c r="AK7" s="2265"/>
      <c r="AL7" s="2265"/>
      <c r="AM7" s="2265"/>
      <c r="AN7" s="2265"/>
      <c r="AO7" s="2265"/>
      <c r="AP7" s="2266"/>
      <c r="AQ7" s="1258" t="s">
        <v>413</v>
      </c>
      <c r="AS7" s="500"/>
      <c r="AT7" s="500" t="str">
        <f>IF(V7="","",V7)</f>
        <v>Группа потребителей</v>
      </c>
      <c r="AU7" s="500"/>
      <c r="AV7" s="500"/>
      <c r="AW7" s="1155">
        <v>0</v>
      </c>
    </row>
    <row customHeight="1" ht="21" hidden="1">
      <c r="A8" s="1267"/>
      <c r="B8" s="1267"/>
      <c r="C8" s="1267"/>
      <c r="D8" s="1267"/>
      <c r="E8" s="2309"/>
      <c r="F8" s="2309"/>
      <c r="G8" s="2309"/>
      <c r="H8" s="2309"/>
      <c r="I8" s="2120"/>
      <c r="J8" s="2120"/>
      <c r="K8" s="2146">
        <f>J7&amp;".1"</f>
      </c>
      <c r="L8" s="139"/>
      <c r="M8" s="1310" t="s">
        <v>414</v>
      </c>
      <c r="N8" s="509"/>
      <c r="O8" s="327"/>
      <c r="P8" s="327"/>
      <c r="Q8" s="2276"/>
      <c r="R8" s="2276"/>
      <c r="S8" s="2276">
        <v>1</v>
      </c>
      <c r="T8" s="357"/>
      <c r="U8" s="1336">
        <f>$K8</f>
      </c>
      <c r="V8" s="1347"/>
      <c r="W8" s="300"/>
      <c r="X8" s="751"/>
      <c r="Y8" s="751"/>
      <c r="Z8" s="751"/>
      <c r="AA8" s="751"/>
      <c r="AB8" s="1405"/>
      <c r="AC8" s="2284"/>
      <c r="AD8" s="2126" t="s">
        <v>66</v>
      </c>
      <c r="AE8" s="2284"/>
      <c r="AF8" s="2126" t="s">
        <v>66</v>
      </c>
      <c r="AG8" s="1407"/>
      <c r="AH8" s="751"/>
      <c r="AI8" s="751"/>
      <c r="AJ8" s="751"/>
      <c r="AK8" s="1257"/>
      <c r="AL8" s="2284"/>
      <c r="AM8" s="2126" t="s">
        <v>66</v>
      </c>
      <c r="AN8" s="2284"/>
      <c r="AO8" s="2126" t="s">
        <v>66</v>
      </c>
      <c r="AP8" s="325"/>
      <c r="AQ8" s="1307" t="s">
        <v>453</v>
      </c>
      <c r="AR8" s="511">
        <f>STRCHECKDATE(X10:AP10)</f>
      </c>
      <c r="AS8" s="500"/>
      <c r="AT8" s="500" t="str">
        <f>IF(V8="","",V8)</f>
        <v/>
      </c>
      <c r="AU8" s="500"/>
      <c r="AV8" s="500"/>
      <c r="AW8" s="1155">
        <v>0</v>
      </c>
    </row>
    <row customHeight="1" ht="21" hidden="1">
      <c r="A9" s="1267"/>
      <c r="B9" s="1267"/>
      <c r="C9" s="1267"/>
      <c r="D9" s="1267"/>
      <c r="E9" s="2309"/>
      <c r="F9" s="2309"/>
      <c r="G9" s="2309"/>
      <c r="H9" s="2309"/>
      <c r="I9" s="2120"/>
      <c r="J9" s="2120"/>
      <c r="K9" s="2120"/>
      <c r="L9" s="2146">
        <f>K8&amp;".1"</f>
      </c>
      <c r="M9" s="1310"/>
      <c r="N9" s="509"/>
      <c r="O9" s="327"/>
      <c r="P9" s="327"/>
      <c r="Q9" s="2276"/>
      <c r="R9" s="2276"/>
      <c r="S9" s="2276"/>
      <c r="T9" s="357"/>
      <c r="U9" s="1336">
        <f>$L9</f>
      </c>
      <c r="V9" s="1391"/>
      <c r="W9" s="300"/>
      <c r="X9" s="325"/>
      <c r="Y9" s="751"/>
      <c r="Z9" s="751"/>
      <c r="AA9" s="751"/>
      <c r="AB9" s="1405"/>
      <c r="AC9" s="2328"/>
      <c r="AD9" s="2126"/>
      <c r="AE9" s="2328"/>
      <c r="AF9" s="2126"/>
      <c r="AG9" s="1407"/>
      <c r="AH9" s="751"/>
      <c r="AI9" s="751"/>
      <c r="AJ9" s="751"/>
      <c r="AK9" s="1257"/>
      <c r="AL9" s="2328"/>
      <c r="AM9" s="2126"/>
      <c r="AN9" s="2328"/>
      <c r="AO9" s="2126"/>
      <c r="AP9" s="325"/>
      <c r="AQ9" s="2272" t="s">
        <v>454</v>
      </c>
      <c r="AS9" s="500"/>
      <c r="AT9" s="500"/>
      <c r="AU9" s="500"/>
      <c r="AV9" s="500"/>
      <c r="AW9" s="1155">
        <v>0</v>
      </c>
    </row>
    <row customHeight="1" ht="14.25" hidden="1">
      <c r="A10" s="1267"/>
      <c r="B10" s="1267"/>
      <c r="C10" s="1267"/>
      <c r="D10" s="1267"/>
      <c r="E10" s="2309"/>
      <c r="F10" s="2309"/>
      <c r="G10" s="2309"/>
      <c r="H10" s="2309"/>
      <c r="I10" s="2120"/>
      <c r="J10" s="2120"/>
      <c r="K10" s="2120"/>
      <c r="L10" s="2146"/>
      <c r="M10" s="1310"/>
      <c r="N10" s="509"/>
      <c r="O10" s="327"/>
      <c r="P10" s="327"/>
      <c r="Q10" s="2276"/>
      <c r="R10" s="2276"/>
      <c r="S10" s="2276"/>
      <c r="T10" s="357"/>
      <c r="U10" s="1342"/>
      <c r="V10" s="300"/>
      <c r="W10" s="300"/>
      <c r="X10" s="325"/>
      <c r="Y10" s="325"/>
      <c r="Z10" s="325"/>
      <c r="AA10" s="325"/>
      <c r="AB10" s="1406" t="str">
        <f>AC8&amp;"-"&amp;AE8</f>
        <v>-</v>
      </c>
      <c r="AC10" s="2328"/>
      <c r="AD10" s="2126"/>
      <c r="AE10" s="2328"/>
      <c r="AF10" s="2126"/>
      <c r="AG10" s="1382"/>
      <c r="AH10" s="325"/>
      <c r="AI10" s="325"/>
      <c r="AJ10" s="325"/>
      <c r="AK10" s="328" t="str">
        <f>AL8&amp;"-"&amp;AN8</f>
        <v>-</v>
      </c>
      <c r="AL10" s="2328"/>
      <c r="AM10" s="2126"/>
      <c r="AN10" s="2328"/>
      <c r="AO10" s="2126"/>
      <c r="AP10" s="325"/>
      <c r="AQ10" s="2273"/>
      <c r="AS10" s="500"/>
      <c r="AT10" s="500" t="str">
        <f>IF(V10="","",V10)</f>
        <v/>
      </c>
      <c r="AU10" s="500"/>
      <c r="AV10" s="500"/>
      <c r="AW10" s="1155">
        <v>0</v>
      </c>
    </row>
    <row customHeight="1" ht="11.25" hidden="1">
      <c r="A11" s="1267"/>
      <c r="B11" s="1267"/>
      <c r="C11" s="1267"/>
      <c r="D11" s="1267"/>
      <c r="E11" s="2309"/>
      <c r="F11" s="2309"/>
      <c r="G11" s="2309"/>
      <c r="H11" s="2309"/>
      <c r="I11" s="2120"/>
      <c r="J11" s="2120"/>
      <c r="K11" s="2146"/>
      <c r="L11" s="1267"/>
      <c r="M11" s="1310"/>
      <c r="N11" s="509"/>
      <c r="O11" s="327"/>
      <c r="P11" s="327"/>
      <c r="Q11" s="2276"/>
      <c r="R11" s="2276"/>
      <c r="S11" s="2276"/>
      <c r="T11" s="357"/>
      <c r="U11" s="1278"/>
      <c r="V11" s="288" t="s">
        <v>455</v>
      </c>
      <c r="W11" s="1392"/>
      <c r="X11" s="1393"/>
      <c r="Y11" s="1393"/>
      <c r="Z11" s="1393"/>
      <c r="AA11" s="1393"/>
      <c r="AB11" s="1394"/>
      <c r="AC11" s="2328"/>
      <c r="AD11" s="2126"/>
      <c r="AE11" s="2328"/>
      <c r="AF11" s="2126"/>
      <c r="AG11" s="1393"/>
      <c r="AH11" s="1393"/>
      <c r="AI11" s="1393"/>
      <c r="AJ11" s="1393"/>
      <c r="AK11" s="1394"/>
      <c r="AL11" s="2328"/>
      <c r="AM11" s="2126"/>
      <c r="AN11" s="2328"/>
      <c r="AO11" s="2126"/>
      <c r="AP11" s="1395"/>
      <c r="AQ11" s="2273"/>
      <c r="AS11" s="500"/>
      <c r="AT11" s="500"/>
      <c r="AU11" s="500"/>
      <c r="AV11" s="500"/>
      <c r="AW11" s="1155">
        <v>0</v>
      </c>
    </row>
    <row customHeight="1" ht="15" hidden="1">
      <c r="A12" s="1267"/>
      <c r="B12" s="1267"/>
      <c r="C12" s="1267"/>
      <c r="D12" s="1267"/>
      <c r="E12" s="2309"/>
      <c r="F12" s="2309"/>
      <c r="G12" s="2309"/>
      <c r="H12" s="2309"/>
      <c r="I12" s="2120"/>
      <c r="J12" s="2146"/>
      <c r="K12" s="1267"/>
      <c r="L12" s="1267"/>
      <c r="M12" s="1310"/>
      <c r="N12" s="509"/>
      <c r="O12" s="327"/>
      <c r="Q12" s="2276"/>
      <c r="R12" s="2276"/>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74"/>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09"/>
      <c r="F13" s="2309"/>
      <c r="G13" s="2309"/>
      <c r="H13" s="2309"/>
      <c r="I13" s="2146"/>
      <c r="J13" s="1267"/>
      <c r="K13" s="1267"/>
      <c r="L13" s="1267"/>
      <c r="M13" s="1310"/>
      <c r="N13" s="509"/>
      <c r="Q13" s="2276"/>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09"/>
      <c r="F14" s="2309"/>
      <c r="G14" s="2309"/>
      <c r="H14" s="2308"/>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09"/>
      <c r="F15" s="2309"/>
      <c r="G15" s="2308"/>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09"/>
      <c r="F16" s="2308"/>
      <c r="G16" s="1374"/>
      <c r="H16" s="1374"/>
      <c r="I16" s="1374"/>
      <c r="J16" s="1374"/>
      <c r="K16" s="1374"/>
      <c r="L16" s="1374"/>
      <c r="M16" s="1377"/>
      <c r="N16" s="1379"/>
      <c r="O16" s="1379"/>
      <c r="P16" s="351"/>
      <c r="Q16" s="1316"/>
      <c r="R16" s="1317"/>
      <c r="S16" s="1316"/>
      <c r="T16" s="1316"/>
      <c r="U16" s="1322"/>
      <c r="V16" s="1323" t="s">
        <v>420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08"/>
      <c r="F17" s="1374"/>
      <c r="G17" s="1374"/>
      <c r="H17" s="1374"/>
      <c r="I17" s="1374"/>
      <c r="J17" s="1374"/>
      <c r="K17" s="1374"/>
      <c r="L17" s="1374"/>
      <c r="M17" s="1377"/>
      <c r="N17" s="1379"/>
      <c r="O17" s="1379"/>
      <c r="P17" s="351"/>
      <c r="Q17" s="1316"/>
      <c r="R17" s="1317"/>
      <c r="S17" s="1316"/>
      <c r="T17" s="1316"/>
      <c r="U17" s="1322"/>
      <c r="V17" s="1325" t="s">
        <v>421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86"/>
      <c r="AM19" s="2287" t="s">
        <v>66</v>
      </c>
      <c r="AN19" s="2286"/>
      <c r="AO19" s="2287" t="s">
        <v>66</v>
      </c>
      <c r="AW19" s="1155">
        <v>0</v>
      </c>
    </row>
    <row customHeight="1" ht="14.25" hidden="1">
      <c r="AG20" s="1360"/>
      <c r="AH20" s="1360"/>
      <c r="AI20" s="1360"/>
      <c r="AJ20" s="1360"/>
      <c r="AK20" s="1361"/>
      <c r="AL20" s="2286"/>
      <c r="AM20" s="2287"/>
      <c r="AN20" s="2286"/>
      <c r="AO20" s="2287"/>
      <c r="AW20" s="1155">
        <v>0</v>
      </c>
    </row>
    <row customHeight="1" ht="14.25" hidden="1">
      <c r="AG21" s="1360"/>
      <c r="AH21" s="1360"/>
      <c r="AI21" s="1360"/>
      <c r="AJ21" s="1360"/>
      <c r="AK21" s="1361"/>
      <c r="AL21" s="2286"/>
      <c r="AM21" s="2287"/>
      <c r="AN21" s="2286"/>
      <c r="AO21" s="2287"/>
      <c r="AW21" s="1155">
        <v>0</v>
      </c>
    </row>
    <row customHeight="1" ht="14.25" hidden="1">
      <c r="AG22" s="1360"/>
      <c r="AH22" s="1360"/>
      <c r="AI22" s="1360"/>
      <c r="AJ22" s="1360"/>
      <c r="AK22" s="328" t="str">
        <f>AL19&amp;"-"&amp;AN19</f>
        <v>-</v>
      </c>
      <c r="AL22" s="2287"/>
      <c r="AM22" s="2287"/>
      <c r="AN22" s="2287"/>
      <c r="AO22" s="2287"/>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3"/>
      <c r="AW30" s="1155">
        <v>54</v>
      </c>
    </row>
    <row customHeight="1" ht="14.699999999999998">
      <c r="R31" s="376"/>
      <c r="S31" s="376"/>
      <c r="T31" s="376"/>
      <c r="U31" s="2268" t="str">
        <f>IF(org=0,"Не определено",org)</f>
        <v>Муниципальное унитарное предприятие "Невельские коммунальные сети"</v>
      </c>
      <c r="V31" s="2268"/>
      <c r="W31" s="2268"/>
      <c r="X31" s="2268"/>
      <c r="Y31" s="2268"/>
      <c r="Z31" s="2268"/>
      <c r="AA31" s="2268"/>
      <c r="AB31" s="2268"/>
      <c r="AC31" s="2268"/>
      <c r="AD31" s="2268"/>
      <c r="AE31" s="2268"/>
      <c r="AF31" s="2268"/>
      <c r="AG31" s="2268"/>
      <c r="AH31" s="2268"/>
      <c r="AI31" s="2268"/>
      <c r="AJ31" s="2268"/>
      <c r="AK31" s="2268"/>
      <c r="AL31" s="2268"/>
      <c r="AM31" s="2268"/>
      <c r="AN31" s="2268"/>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2"/>
      <c r="X33" s="2270" t="str">
        <f>IF(TITLE_NAME_OR_PR_CHANGE="",IF(TITLE_NAME_OR_PR="","",TITLE_NAME_OR_PR),TITLE_NAME_OR_PR_CHANGE)</f>
        <v/>
      </c>
      <c r="Y33" s="2270"/>
      <c r="Z33" s="2270"/>
      <c r="AA33" s="2270"/>
      <c r="AB33" s="2270"/>
      <c r="AC33" s="2270"/>
      <c r="AD33" s="2270"/>
      <c r="AE33" s="2270"/>
      <c r="AF33" s="326"/>
      <c r="AG33" s="2270" t="str">
        <f>IF(TITLE_NAME_OR_PR_CHANGE="",IF(TITLE_NAME_OR_PR="","",TITLE_NAME_OR_PR),TITLE_NAME_OR_PR_CHANGE)</f>
        <v/>
      </c>
      <c r="AH33" s="2270"/>
      <c r="AI33" s="2270"/>
      <c r="AJ33" s="2270"/>
      <c r="AK33" s="2270"/>
      <c r="AL33" s="2270"/>
      <c r="AM33" s="2270"/>
      <c r="AN33" s="2270"/>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9" t="str">
        <f>"Дата документа об "&amp;IF(TITLE_DATE_PR_CHANGE="","утверждении","изменении")&amp;" тарифов"</f>
        <v>Дата документа об утверждении тарифов</v>
      </c>
      <c r="V34" s="2269"/>
      <c r="W34" s="1372"/>
      <c r="X34" s="2283" t="str">
        <f>IF(TITLE_DATE_PR_CHANGE="",IF(TITLE_DATE_PR="","",TITLE_DATE_PR),TITLE_DATE_PR_CHANGE)</f>
        <v/>
      </c>
      <c r="Y34" s="2283"/>
      <c r="Z34" s="2283"/>
      <c r="AA34" s="2283"/>
      <c r="AB34" s="2283"/>
      <c r="AC34" s="2283"/>
      <c r="AD34" s="2283"/>
      <c r="AE34" s="2283"/>
      <c r="AF34" s="326"/>
      <c r="AG34" s="2283" t="str">
        <f>IF(TITLE_DATE_PR_CHANGE="",IF(TITLE_DATE_PR="","",TITLE_DATE_PR),TITLE_DATE_PR_CHANGE)</f>
        <v/>
      </c>
      <c r="AH34" s="2283"/>
      <c r="AI34" s="2283"/>
      <c r="AJ34" s="2283"/>
      <c r="AK34" s="2283"/>
      <c r="AL34" s="2283"/>
      <c r="AM34" s="2283"/>
      <c r="AN34" s="2283"/>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9" t="str">
        <f>"Номер документа об "&amp;IF(TITLE_DATE_PR_CHANGE="","утверждении","изменении")&amp;" тарифов"</f>
        <v>Номер документа об утверждении тарифов</v>
      </c>
      <c r="V35" s="2269"/>
      <c r="W35" s="1372"/>
      <c r="X35" s="2270" t="str">
        <f>IF(TITLE_NUMBER_PR_CHANGE="",IF(TITLE_NUMBER_PR="","",TITLE_NUMBER_PR),TITLE_NUMBER_PR_CHANGE)</f>
        <v/>
      </c>
      <c r="Y35" s="2270"/>
      <c r="Z35" s="2270"/>
      <c r="AA35" s="2270"/>
      <c r="AB35" s="2270"/>
      <c r="AC35" s="2270"/>
      <c r="AD35" s="2270"/>
      <c r="AE35" s="2270"/>
      <c r="AF35" s="326"/>
      <c r="AG35" s="2270" t="str">
        <f>IF(TITLE_NUMBER_PR_CHANGE="",IF(TITLE_NUMBER_PR="","",TITLE_NUMBER_PR),TITLE_NUMBER_PR_CHANGE)</f>
        <v/>
      </c>
      <c r="AH35" s="2270"/>
      <c r="AI35" s="2270"/>
      <c r="AJ35" s="2270"/>
      <c r="AK35" s="2270"/>
      <c r="AL35" s="2270"/>
      <c r="AM35" s="2270"/>
      <c r="AN35" s="2270"/>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9" t="s">
        <v>43</v>
      </c>
      <c r="V36" s="2269"/>
      <c r="W36" s="1372"/>
      <c r="X36" s="2270" t="str">
        <f>IF(TITLE_IST_PUB_CHANGE="",IF(TITLE_IST_PUB="","",TITLE_IST_PUB),TITLE_IST_PUB_CHANGE)</f>
        <v/>
      </c>
      <c r="Y36" s="2270"/>
      <c r="Z36" s="2270"/>
      <c r="AA36" s="2270"/>
      <c r="AB36" s="2270"/>
      <c r="AC36" s="2270"/>
      <c r="AD36" s="2270"/>
      <c r="AE36" s="2270"/>
      <c r="AF36" s="326"/>
      <c r="AG36" s="2270" t="str">
        <f>IF(TITLE_IST_PUB_CHANGE="",IF(TITLE_IST_PUB="","",TITLE_IST_PUB),TITLE_IST_PUB_CHANGE)</f>
        <v/>
      </c>
      <c r="AH36" s="2270"/>
      <c r="AI36" s="2270"/>
      <c r="AJ36" s="2270"/>
      <c r="AK36" s="2270"/>
      <c r="AL36" s="2270"/>
      <c r="AM36" s="2270"/>
      <c r="AN36" s="2270"/>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9" t="str">
        <f>"Дата подачи заявления об "&amp;IF(TITLE_DATE_PR_CHANGE="","утверждении","изменении")&amp;" тарифов"</f>
        <v>Дата подачи заявления об утверждении тарифов</v>
      </c>
      <c r="V38" s="2269"/>
      <c r="W38" s="1372"/>
      <c r="X38" s="2283" t="str">
        <f>IF(TITLE_DATE_PR_CHANGE="",IF(TITLE_DATE_PR="","",TITLE_DATE_PR),TITLE_DATE_PR_CHANGE)</f>
        <v/>
      </c>
      <c r="Y38" s="2283"/>
      <c r="Z38" s="2283"/>
      <c r="AA38" s="2283"/>
      <c r="AB38" s="2283"/>
      <c r="AC38" s="2283"/>
      <c r="AD38" s="2283"/>
      <c r="AE38" s="2283"/>
      <c r="AF38" s="326"/>
      <c r="AG38" s="2283" t="str">
        <f>IF(TITLE_DATE_PR_CHANGE="",IF(TITLE_DATE_PR="","",TITLE_DATE_PR),TITLE_DATE_PR_CHANGE)</f>
        <v/>
      </c>
      <c r="AH38" s="2283"/>
      <c r="AI38" s="2283"/>
      <c r="AJ38" s="2283"/>
      <c r="AK38" s="2283"/>
      <c r="AL38" s="2283"/>
      <c r="AM38" s="2283"/>
      <c r="AN38" s="2283"/>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9" t="str">
        <f>"Номер подачи заявления об "&amp;IF(TITLE_DATE_PR_CHANGE="","утверждении","изменении")&amp;" тарифов"</f>
        <v>Номер подачи заявления об утверждении тарифов</v>
      </c>
      <c r="V39" s="2269"/>
      <c r="W39" s="1372"/>
      <c r="X39" s="2270" t="str">
        <f>IF(TITLE_NUMBER_PR_CHANGE="",IF(TITLE_NUMBER_PR="","",TITLE_NUMBER_PR),TITLE_NUMBER_PR_CHANGE)</f>
        <v/>
      </c>
      <c r="Y39" s="2270"/>
      <c r="Z39" s="2270"/>
      <c r="AA39" s="2270"/>
      <c r="AB39" s="2270"/>
      <c r="AC39" s="2270"/>
      <c r="AD39" s="2270"/>
      <c r="AE39" s="2270"/>
      <c r="AF39" s="326"/>
      <c r="AG39" s="2270" t="str">
        <f>IF(TITLE_NUMBER_PR_CHANGE="",IF(TITLE_NUMBER_PR="","",TITLE_NUMBER_PR),TITLE_NUMBER_PR_CHANGE)</f>
        <v/>
      </c>
      <c r="AH39" s="2270"/>
      <c r="AI39" s="2270"/>
      <c r="AJ39" s="2270"/>
      <c r="AK39" s="2270"/>
      <c r="AL39" s="2270"/>
      <c r="AM39" s="2270"/>
      <c r="AN39" s="2270"/>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71"/>
      <c r="Y41" s="2271"/>
      <c r="Z41" s="2271"/>
      <c r="AA41" s="2271"/>
      <c r="AB41" s="2271"/>
      <c r="AC41" s="2271"/>
      <c r="AD41" s="2271"/>
      <c r="AE41" s="2271"/>
      <c r="AF41" s="2271"/>
      <c r="AG41" s="2271"/>
      <c r="AH41" s="2271"/>
      <c r="AI41" s="2271"/>
      <c r="AJ41" s="2271"/>
      <c r="AK41" s="2271"/>
      <c r="AL41" s="2271"/>
      <c r="AM41" s="2271"/>
      <c r="AN41" s="2271"/>
      <c r="AO41" s="2271"/>
      <c r="AW41" s="1155">
        <v>14</v>
      </c>
    </row>
    <row customHeight="1" ht="14.699999999999998">
      <c r="R42" s="376"/>
      <c r="S42" s="376"/>
      <c r="T42" s="376"/>
      <c r="U42" s="2146" t="s">
        <v>305</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306</v>
      </c>
      <c r="AW42" s="1155">
        <v>14</v>
      </c>
    </row>
    <row customHeight="1" ht="14.699999999999998">
      <c r="R43" s="376"/>
      <c r="S43" s="376"/>
      <c r="T43" s="376"/>
      <c r="U43" s="2292" t="s">
        <v>89</v>
      </c>
      <c r="V43" s="2228" t="s">
        <v>429</v>
      </c>
      <c r="W43" s="301"/>
      <c r="X43" s="2293" t="s">
        <v>430</v>
      </c>
      <c r="Y43" s="2310"/>
      <c r="Z43" s="2310"/>
      <c r="AA43" s="2310"/>
      <c r="AB43" s="2310"/>
      <c r="AC43" s="2294"/>
      <c r="AD43" s="2294"/>
      <c r="AE43" s="2295"/>
      <c r="AF43" s="2296" t="s">
        <v>431</v>
      </c>
      <c r="AG43" s="2293" t="s">
        <v>430</v>
      </c>
      <c r="AH43" s="2310"/>
      <c r="AI43" s="2310"/>
      <c r="AJ43" s="2310"/>
      <c r="AK43" s="2310"/>
      <c r="AL43" s="2294"/>
      <c r="AM43" s="2294"/>
      <c r="AN43" s="2295"/>
      <c r="AO43" s="2296" t="s">
        <v>432</v>
      </c>
      <c r="AP43" s="2299" t="s">
        <v>433</v>
      </c>
      <c r="AQ43" s="2146"/>
      <c r="AW43" s="1155">
        <v>14</v>
      </c>
    </row>
    <row customHeight="1" ht="35.699999999999996">
      <c r="R44" s="376"/>
      <c r="S44" s="376"/>
      <c r="T44" s="376"/>
      <c r="U44" s="2292"/>
      <c r="V44" s="2228"/>
      <c r="W44" s="1031"/>
      <c r="X44" s="2313" t="s">
        <v>456</v>
      </c>
      <c r="Y44" s="2331" t="s">
        <v>457</v>
      </c>
      <c r="Z44" s="2331"/>
      <c r="AA44" s="2331"/>
      <c r="AB44" s="2331"/>
      <c r="AC44" s="2313" t="s">
        <v>437</v>
      </c>
      <c r="AD44" s="2634"/>
      <c r="AE44" s="2333"/>
      <c r="AF44" s="2297"/>
      <c r="AG44" s="2313" t="s">
        <v>456</v>
      </c>
      <c r="AH44" s="2331" t="s">
        <v>457</v>
      </c>
      <c r="AI44" s="2331"/>
      <c r="AJ44" s="2331"/>
      <c r="AK44" s="2331"/>
      <c r="AL44" s="2313" t="s">
        <v>437</v>
      </c>
      <c r="AM44" s="2634"/>
      <c r="AN44" s="2333"/>
      <c r="AO44" s="2297"/>
      <c r="AP44" s="2300"/>
      <c r="AQ44" s="2146"/>
      <c r="AW44" s="1155">
        <v>34</v>
      </c>
    </row>
    <row customHeight="1" ht="14.699999999999998">
      <c r="R45" s="376"/>
      <c r="S45" s="376"/>
      <c r="T45" s="376"/>
      <c r="U45" s="2292"/>
      <c r="V45" s="2228"/>
      <c r="W45" s="1031"/>
      <c r="X45" s="2344"/>
      <c r="Y45" s="2336" t="s">
        <v>458</v>
      </c>
      <c r="Z45" s="2289" t="s">
        <v>459</v>
      </c>
      <c r="AA45" s="2339"/>
      <c r="AB45" s="2290"/>
      <c r="AC45" s="2314"/>
      <c r="AD45" s="2635"/>
      <c r="AE45" s="2335"/>
      <c r="AF45" s="2297"/>
      <c r="AG45" s="2344"/>
      <c r="AH45" s="2336" t="s">
        <v>458</v>
      </c>
      <c r="AI45" s="2289" t="s">
        <v>459</v>
      </c>
      <c r="AJ45" s="2339"/>
      <c r="AK45" s="2290"/>
      <c r="AL45" s="2314"/>
      <c r="AM45" s="2635"/>
      <c r="AN45" s="2335"/>
      <c r="AO45" s="2297"/>
      <c r="AP45" s="2300"/>
      <c r="AQ45" s="2146"/>
      <c r="AW45" s="1155">
        <v>14</v>
      </c>
    </row>
    <row customHeight="1" ht="27.299999999999997">
      <c r="R46" s="376"/>
      <c r="S46" s="376"/>
      <c r="T46" s="376"/>
      <c r="U46" s="2292"/>
      <c r="V46" s="2228"/>
      <c r="W46" s="1031"/>
      <c r="X46" s="2344"/>
      <c r="Y46" s="2337"/>
      <c r="Z46" s="2336" t="s">
        <v>460</v>
      </c>
      <c r="AA46" s="2289" t="s">
        <v>461</v>
      </c>
      <c r="AB46" s="2290"/>
      <c r="AC46" s="2336" t="s">
        <v>447</v>
      </c>
      <c r="AD46" s="2340" t="s">
        <v>448</v>
      </c>
      <c r="AE46" s="2341"/>
      <c r="AF46" s="2297"/>
      <c r="AG46" s="2344"/>
      <c r="AH46" s="2337"/>
      <c r="AI46" s="2336" t="s">
        <v>460</v>
      </c>
      <c r="AJ46" s="2289" t="s">
        <v>461</v>
      </c>
      <c r="AK46" s="2290"/>
      <c r="AL46" s="2336" t="s">
        <v>447</v>
      </c>
      <c r="AM46" s="2340" t="s">
        <v>448</v>
      </c>
      <c r="AN46" s="2341"/>
      <c r="AO46" s="2297"/>
      <c r="AP46" s="2300"/>
      <c r="AQ46" s="2146"/>
      <c r="AW46" s="1155">
        <v>26</v>
      </c>
    </row>
    <row customHeight="1" ht="65.25">
      <c r="A47" s="1259"/>
      <c r="B47" s="1259" t="s">
        <v>142</v>
      </c>
      <c r="C47" s="1259" t="s">
        <v>143</v>
      </c>
      <c r="D47" s="1259" t="s">
        <v>144</v>
      </c>
      <c r="E47" s="1310" t="s">
        <v>438</v>
      </c>
      <c r="F47" s="1310" t="s">
        <v>439</v>
      </c>
      <c r="G47" s="1310" t="s">
        <v>440</v>
      </c>
      <c r="H47" s="1310" t="s">
        <v>441</v>
      </c>
      <c r="I47" s="1310" t="s">
        <v>442</v>
      </c>
      <c r="J47" s="1310" t="s">
        <v>443</v>
      </c>
      <c r="K47" s="1310" t="s">
        <v>444</v>
      </c>
      <c r="L47" s="1310" t="s">
        <v>462</v>
      </c>
      <c r="M47" s="1310" t="s">
        <v>423</v>
      </c>
      <c r="R47" s="376"/>
      <c r="S47" s="376"/>
      <c r="T47" s="376"/>
      <c r="U47" s="2292"/>
      <c r="V47" s="2228"/>
      <c r="W47" s="302"/>
      <c r="X47" s="2314"/>
      <c r="Y47" s="2338"/>
      <c r="Z47" s="2338"/>
      <c r="AA47" s="1222" t="s">
        <v>463</v>
      </c>
      <c r="AB47" s="1222" t="s">
        <v>464</v>
      </c>
      <c r="AC47" s="2338"/>
      <c r="AD47" s="2342"/>
      <c r="AE47" s="2343"/>
      <c r="AF47" s="2298"/>
      <c r="AG47" s="2314"/>
      <c r="AH47" s="2338"/>
      <c r="AI47" s="2338"/>
      <c r="AJ47" s="1222" t="s">
        <v>463</v>
      </c>
      <c r="AK47" s="1222" t="s">
        <v>464</v>
      </c>
      <c r="AL47" s="2338"/>
      <c r="AM47" s="2342"/>
      <c r="AN47" s="2343"/>
      <c r="AO47" s="2298"/>
      <c r="AP47" s="2301"/>
      <c r="AQ47" s="2146"/>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181</v>
      </c>
      <c r="B49" s="1267"/>
      <c r="C49" s="1267"/>
      <c r="D49" s="1267"/>
      <c r="E49" s="2308">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130</v>
      </c>
      <c r="W49" s="300"/>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181</v>
      </c>
      <c r="B50" s="1267" t="s">
        <v>182</v>
      </c>
      <c r="C50" s="1267"/>
      <c r="D50" s="1267"/>
      <c r="E50" s="2309"/>
      <c r="F50" s="2308">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58" t="s">
        <v>403</v>
      </c>
      <c r="AS50" s="500"/>
      <c r="AT50" s="500" t="str">
        <f>IF(V50="","",V50)</f>
        <v>Территория действия тарифа</v>
      </c>
      <c r="AU50" s="500"/>
      <c r="AV50" s="500"/>
      <c r="AW50" s="1155">
        <v>21</v>
      </c>
    </row>
    <row customHeight="1" ht="24">
      <c r="A51" s="1267" t="s">
        <v>181</v>
      </c>
      <c r="B51" s="1267" t="s">
        <v>182</v>
      </c>
      <c r="C51" s="1267" t="s">
        <v>183</v>
      </c>
      <c r="D51" s="1267"/>
      <c r="E51" s="2309"/>
      <c r="F51" s="2309"/>
      <c r="G51" s="2308">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58" t="s">
        <v>405</v>
      </c>
      <c r="AS51" s="500"/>
      <c r="AT51" s="500" t="str">
        <f>IF(V51="","",V51)</f>
        <v>Наименование системы теплоснабжения </v>
      </c>
      <c r="AU51" s="500"/>
      <c r="AV51" s="500"/>
      <c r="AW51" s="1155">
        <v>23</v>
      </c>
    </row>
    <row customHeight="1" ht="22.049999999999997">
      <c r="A52" s="1267" t="s">
        <v>181</v>
      </c>
      <c r="B52" s="1267" t="s">
        <v>182</v>
      </c>
      <c r="C52" s="1267" t="s">
        <v>183</v>
      </c>
      <c r="D52" s="1267" t="s">
        <v>184</v>
      </c>
      <c r="E52" s="2309"/>
      <c r="F52" s="2309"/>
      <c r="G52" s="2309"/>
      <c r="H52" s="2329">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58" t="s">
        <v>407</v>
      </c>
      <c r="AS52" s="500"/>
      <c r="AT52" s="500" t="str">
        <f>IF(V52="","",V52)</f>
        <v>Источник тепловой энергии  </v>
      </c>
      <c r="AU52" s="500"/>
      <c r="AV52" s="500"/>
      <c r="AW52" s="1155">
        <v>21</v>
      </c>
    </row>
    <row s="1642" customFormat="1" customHeight="1" ht="0">
      <c r="A53" s="1375" t="s">
        <v>181</v>
      </c>
      <c r="B53" s="1375" t="s">
        <v>182</v>
      </c>
      <c r="C53" s="1375" t="s">
        <v>183</v>
      </c>
      <c r="D53" s="1375" t="s">
        <v>184</v>
      </c>
      <c r="E53" s="2309"/>
      <c r="F53" s="2309"/>
      <c r="G53" s="2309"/>
      <c r="H53" s="2330"/>
      <c r="I53" s="2146" t="str">
        <f>U52&amp;".1"</f>
        <v>....1</v>
      </c>
      <c r="J53" s="1375"/>
      <c r="K53" s="1375"/>
      <c r="L53" s="1375"/>
      <c r="M53" s="1381" t="s">
        <v>408</v>
      </c>
      <c r="N53" s="1246"/>
      <c r="O53" s="1246"/>
      <c r="P53" s="1246"/>
      <c r="Q53" s="2276">
        <v>1</v>
      </c>
      <c r="R53" s="1331"/>
      <c r="S53" s="1331"/>
      <c r="T53" s="356"/>
      <c r="U53" s="1042"/>
      <c r="V53" s="1383"/>
      <c r="W53" s="1384"/>
      <c r="X53" s="2315"/>
      <c r="Y53" s="2316"/>
      <c r="Z53" s="2316"/>
      <c r="AA53" s="2316"/>
      <c r="AB53" s="2316"/>
      <c r="AC53" s="2316"/>
      <c r="AD53" s="2316"/>
      <c r="AE53" s="2316"/>
      <c r="AF53" s="2317"/>
      <c r="AG53" s="2315"/>
      <c r="AH53" s="2316"/>
      <c r="AI53" s="2316"/>
      <c r="AJ53" s="2316"/>
      <c r="AK53" s="2316"/>
      <c r="AL53" s="2316"/>
      <c r="AM53" s="2316"/>
      <c r="AN53" s="2316"/>
      <c r="AO53" s="2316"/>
      <c r="AP53" s="2317"/>
      <c r="AQ53" s="1385"/>
      <c r="AS53" s="500"/>
      <c r="AT53" s="500" t="str">
        <f>IF(V53="","",V53)</f>
        <v/>
      </c>
      <c r="AU53" s="500"/>
      <c r="AV53" s="500"/>
      <c r="AW53" s="511">
        <v>0</v>
      </c>
    </row>
    <row customHeight="1" ht="22.049999999999997">
      <c r="A54" s="1267" t="s">
        <v>181</v>
      </c>
      <c r="B54" s="1267" t="s">
        <v>182</v>
      </c>
      <c r="C54" s="1267" t="s">
        <v>183</v>
      </c>
      <c r="D54" s="1267" t="s">
        <v>184</v>
      </c>
      <c r="E54" s="2309"/>
      <c r="F54" s="2309"/>
      <c r="G54" s="2309"/>
      <c r="H54" s="2330"/>
      <c r="I54" s="2120"/>
      <c r="J54" s="2146" t="str">
        <f>I53&amp;".1"</f>
        <v>....1.1</v>
      </c>
      <c r="K54" s="1267"/>
      <c r="L54" s="1267"/>
      <c r="M54" s="1310" t="s">
        <v>411</v>
      </c>
      <c r="Q54" s="2276"/>
      <c r="R54" s="2276">
        <v>1</v>
      </c>
      <c r="S54" s="518"/>
      <c r="T54" s="357"/>
      <c r="U54" s="1336" t="str">
        <f>$J54</f>
        <v>....1.1</v>
      </c>
      <c r="V54" s="286" t="s">
        <v>412</v>
      </c>
      <c r="W54" s="300"/>
      <c r="X54" s="2264"/>
      <c r="Y54" s="2265"/>
      <c r="Z54" s="2265"/>
      <c r="AA54" s="2265"/>
      <c r="AB54" s="2265"/>
      <c r="AC54" s="2254"/>
      <c r="AD54" s="2254"/>
      <c r="AE54" s="2254"/>
      <c r="AF54" s="2327"/>
      <c r="AG54" s="2264"/>
      <c r="AH54" s="2265"/>
      <c r="AI54" s="2265"/>
      <c r="AJ54" s="2265"/>
      <c r="AK54" s="2265"/>
      <c r="AL54" s="2265"/>
      <c r="AM54" s="2265"/>
      <c r="AN54" s="2265"/>
      <c r="AO54" s="2265"/>
      <c r="AP54" s="2266"/>
      <c r="AQ54" s="1258" t="s">
        <v>413</v>
      </c>
      <c r="AS54" s="500"/>
      <c r="AT54" s="500" t="str">
        <f>IF(V54="","",V54)</f>
        <v>Группа потребителей</v>
      </c>
      <c r="AU54" s="500"/>
      <c r="AV54" s="500"/>
      <c r="AW54" s="1155">
        <v>21</v>
      </c>
    </row>
    <row customHeight="1" ht="22.049999999999997">
      <c r="A55" s="1267" t="s">
        <v>181</v>
      </c>
      <c r="B55" s="1267" t="s">
        <v>182</v>
      </c>
      <c r="C55" s="1267" t="s">
        <v>183</v>
      </c>
      <c r="D55" s="1267" t="s">
        <v>184</v>
      </c>
      <c r="E55" s="2309"/>
      <c r="F55" s="2309"/>
      <c r="G55" s="2309"/>
      <c r="H55" s="2330"/>
      <c r="I55" s="2120"/>
      <c r="J55" s="2120"/>
      <c r="K55" s="2146" t="str">
        <f>J54&amp;".1"</f>
        <v>....1.1.1</v>
      </c>
      <c r="L55" s="139"/>
      <c r="M55" s="1310" t="s">
        <v>414</v>
      </c>
      <c r="Q55" s="2276"/>
      <c r="R55" s="2276"/>
      <c r="S55" s="518">
        <v>1</v>
      </c>
      <c r="T55" s="357"/>
      <c r="U55" s="1336" t="str">
        <f>$K55</f>
        <v>....1.1.1</v>
      </c>
      <c r="V55" s="1347"/>
      <c r="W55" s="300"/>
      <c r="X55" s="751"/>
      <c r="Y55" s="751"/>
      <c r="Z55" s="751"/>
      <c r="AA55" s="751"/>
      <c r="AB55" s="1405"/>
      <c r="AC55" s="2284"/>
      <c r="AD55" s="2126" t="s">
        <v>66</v>
      </c>
      <c r="AE55" s="2284"/>
      <c r="AF55" s="2126" t="s">
        <v>66</v>
      </c>
      <c r="AG55" s="1407"/>
      <c r="AH55" s="751"/>
      <c r="AI55" s="751"/>
      <c r="AJ55" s="751"/>
      <c r="AK55" s="1257"/>
      <c r="AL55" s="2284"/>
      <c r="AM55" s="2126" t="s">
        <v>66</v>
      </c>
      <c r="AN55" s="2284"/>
      <c r="AO55" s="2126" t="s">
        <v>66</v>
      </c>
      <c r="AP55" s="1348"/>
      <c r="AQ55" s="1307" t="s">
        <v>453</v>
      </c>
      <c r="AR55" s="511">
        <f>STRCHECKDATE(X57:AP57)</f>
      </c>
      <c r="AS55" s="500"/>
      <c r="AT55" s="500" t="str">
        <f>IF(V55="","",V55)</f>
        <v/>
      </c>
      <c r="AU55" s="500"/>
      <c r="AV55" s="500"/>
      <c r="AW55" s="1155">
        <v>21</v>
      </c>
    </row>
    <row customHeight="1" ht="11.549999999999999">
      <c r="A56" s="1267" t="s">
        <v>181</v>
      </c>
      <c r="B56" s="1267" t="s">
        <v>182</v>
      </c>
      <c r="C56" s="1267" t="s">
        <v>183</v>
      </c>
      <c r="D56" s="1267" t="s">
        <v>184</v>
      </c>
      <c r="E56" s="2309"/>
      <c r="F56" s="2309"/>
      <c r="G56" s="2309"/>
      <c r="H56" s="2330"/>
      <c r="I56" s="2120"/>
      <c r="J56" s="2120"/>
      <c r="K56" s="2120"/>
      <c r="L56" s="2146" t="str">
        <f>K55&amp;".1"</f>
        <v>....1.1.1.1</v>
      </c>
      <c r="M56" s="1310"/>
      <c r="Q56" s="2276"/>
      <c r="R56" s="2276"/>
      <c r="S56" s="518">
        <v>1</v>
      </c>
      <c r="T56" s="357"/>
      <c r="U56" s="1336" t="str">
        <f>$L56</f>
        <v>....1.1.1.1</v>
      </c>
      <c r="V56" s="1391"/>
      <c r="W56" s="300"/>
      <c r="X56" s="325"/>
      <c r="Y56" s="751"/>
      <c r="Z56" s="751"/>
      <c r="AA56" s="751"/>
      <c r="AB56" s="1405"/>
      <c r="AC56" s="2328"/>
      <c r="AD56" s="2126"/>
      <c r="AE56" s="2328"/>
      <c r="AF56" s="2126"/>
      <c r="AG56" s="1407"/>
      <c r="AH56" s="751"/>
      <c r="AI56" s="751"/>
      <c r="AJ56" s="751"/>
      <c r="AK56" s="1257"/>
      <c r="AL56" s="2328"/>
      <c r="AM56" s="2126"/>
      <c r="AN56" s="2328"/>
      <c r="AO56" s="2126"/>
      <c r="AP56" s="1348"/>
      <c r="AQ56" s="2272" t="s">
        <v>454</v>
      </c>
      <c r="AR56" s="511">
        <f>STRCHECKDATE(X58:AP58)</f>
      </c>
      <c r="AS56" s="500"/>
      <c r="AT56" s="500" t="str">
        <f>IF(V56="","",V56)</f>
        <v/>
      </c>
      <c r="AU56" s="500"/>
      <c r="AV56" s="500"/>
      <c r="AW56" s="1155">
        <v>11</v>
      </c>
    </row>
    <row customHeight="1" ht="0">
      <c r="A57" s="1267" t="s">
        <v>181</v>
      </c>
      <c r="B57" s="1267" t="s">
        <v>182</v>
      </c>
      <c r="C57" s="1267" t="s">
        <v>183</v>
      </c>
      <c r="D57" s="1267" t="s">
        <v>184</v>
      </c>
      <c r="E57" s="2309"/>
      <c r="F57" s="2309"/>
      <c r="G57" s="2309"/>
      <c r="H57" s="2330"/>
      <c r="I57" s="2120"/>
      <c r="J57" s="2120"/>
      <c r="K57" s="2120"/>
      <c r="L57" s="2146"/>
      <c r="M57" s="1310"/>
      <c r="Q57" s="2276"/>
      <c r="R57" s="2276"/>
      <c r="S57" s="518"/>
      <c r="T57" s="357"/>
      <c r="U57" s="1342"/>
      <c r="V57" s="300"/>
      <c r="W57" s="300"/>
      <c r="X57" s="325"/>
      <c r="Y57" s="325"/>
      <c r="Z57" s="325"/>
      <c r="AA57" s="325"/>
      <c r="AB57" s="1406" t="str">
        <f>AC55&amp;"-"&amp;AE55</f>
        <v>-</v>
      </c>
      <c r="AC57" s="2328"/>
      <c r="AD57" s="2126"/>
      <c r="AE57" s="2328"/>
      <c r="AF57" s="2126"/>
      <c r="AG57" s="1382"/>
      <c r="AH57" s="325"/>
      <c r="AI57" s="325"/>
      <c r="AJ57" s="325"/>
      <c r="AK57" s="328" t="str">
        <f>AL55&amp;"-"&amp;AN55</f>
        <v>-</v>
      </c>
      <c r="AL57" s="2328"/>
      <c r="AM57" s="2126"/>
      <c r="AN57" s="2328"/>
      <c r="AO57" s="2126"/>
      <c r="AP57" s="1349"/>
      <c r="AQ57" s="2273"/>
      <c r="AS57" s="500"/>
      <c r="AT57" s="500" t="str">
        <f>IF(V57="","",V57)</f>
        <v/>
      </c>
      <c r="AU57" s="500"/>
      <c r="AV57" s="500"/>
      <c r="AW57" s="1155">
        <v>0</v>
      </c>
    </row>
    <row customHeight="1" ht="11.549999999999999">
      <c r="A58" s="1267" t="s">
        <v>181</v>
      </c>
      <c r="B58" s="1267" t="s">
        <v>182</v>
      </c>
      <c r="C58" s="1267" t="s">
        <v>183</v>
      </c>
      <c r="D58" s="1267" t="s">
        <v>184</v>
      </c>
      <c r="E58" s="2309"/>
      <c r="F58" s="2309"/>
      <c r="G58" s="2309"/>
      <c r="H58" s="2330"/>
      <c r="I58" s="2120"/>
      <c r="J58" s="2120"/>
      <c r="K58" s="2146"/>
      <c r="L58" s="1267"/>
      <c r="M58" s="1310"/>
      <c r="Q58" s="2276"/>
      <c r="R58" s="2276"/>
      <c r="S58" s="1331"/>
      <c r="T58" s="356"/>
      <c r="U58" s="1278"/>
      <c r="V58" s="288" t="s">
        <v>455</v>
      </c>
      <c r="W58" s="367"/>
      <c r="X58" s="367"/>
      <c r="Y58" s="367"/>
      <c r="Z58" s="367"/>
      <c r="AA58" s="367"/>
      <c r="AB58" s="367"/>
      <c r="AC58" s="2328"/>
      <c r="AD58" s="2126"/>
      <c r="AE58" s="2328"/>
      <c r="AF58" s="2126"/>
      <c r="AG58" s="367"/>
      <c r="AH58" s="367"/>
      <c r="AI58" s="367"/>
      <c r="AJ58" s="367"/>
      <c r="AK58" s="367"/>
      <c r="AL58" s="2328"/>
      <c r="AM58" s="2126"/>
      <c r="AN58" s="2328"/>
      <c r="AO58" s="2126"/>
      <c r="AP58" s="324"/>
      <c r="AQ58" s="2273"/>
      <c r="AS58" s="500"/>
      <c r="AT58" s="500" t="str">
        <f>IF(V58="","",V58)</f>
        <v>Добавить наименование поставщика</v>
      </c>
      <c r="AU58" s="500"/>
      <c r="AV58" s="500"/>
      <c r="AW58" s="1155">
        <v>11</v>
      </c>
    </row>
    <row customHeight="1" ht="11.549999999999999">
      <c r="A59" s="1267" t="s">
        <v>181</v>
      </c>
      <c r="B59" s="1267" t="s">
        <v>182</v>
      </c>
      <c r="C59" s="1267" t="s">
        <v>183</v>
      </c>
      <c r="D59" s="1267" t="s">
        <v>184</v>
      </c>
      <c r="E59" s="2309"/>
      <c r="F59" s="2309"/>
      <c r="G59" s="2309"/>
      <c r="H59" s="2330"/>
      <c r="I59" s="2120"/>
      <c r="J59" s="2146"/>
      <c r="K59" s="1267"/>
      <c r="L59" s="1267"/>
      <c r="M59" s="1310"/>
      <c r="Q59" s="2276"/>
      <c r="R59" s="2276"/>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74"/>
      <c r="AS59" s="500"/>
      <c r="AT59" s="500" t="str">
        <f>IF(V59="","",V59)</f>
        <v>Добавить вид теплоносителя (параметры теплоносителя)</v>
      </c>
      <c r="AU59" s="500"/>
      <c r="AV59" s="500"/>
      <c r="AW59" s="1155">
        <v>11</v>
      </c>
    </row>
    <row customHeight="1" ht="11.549999999999999">
      <c r="A60" s="1267" t="s">
        <v>181</v>
      </c>
      <c r="B60" s="1267" t="s">
        <v>182</v>
      </c>
      <c r="C60" s="1267" t="s">
        <v>183</v>
      </c>
      <c r="D60" s="1267" t="s">
        <v>184</v>
      </c>
      <c r="E60" s="2309"/>
      <c r="F60" s="2309"/>
      <c r="G60" s="2309"/>
      <c r="H60" s="2330"/>
      <c r="I60" s="2146"/>
      <c r="J60" s="1267"/>
      <c r="K60" s="1267"/>
      <c r="L60" s="1267"/>
      <c r="M60" s="1310"/>
      <c r="Q60" s="2276"/>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181</v>
      </c>
      <c r="B61" s="1267" t="s">
        <v>182</v>
      </c>
      <c r="C61" s="1267" t="s">
        <v>183</v>
      </c>
      <c r="D61" s="1267" t="s">
        <v>184</v>
      </c>
      <c r="E61" s="2309"/>
      <c r="F61" s="2309"/>
      <c r="G61" s="2309"/>
      <c r="H61" s="2329"/>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181</v>
      </c>
      <c r="B62" s="1375" t="s">
        <v>182</v>
      </c>
      <c r="C62" s="1375" t="s">
        <v>183</v>
      </c>
      <c r="D62" s="1374"/>
      <c r="E62" s="2309"/>
      <c r="F62" s="2309"/>
      <c r="G62" s="2308"/>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181</v>
      </c>
      <c r="B63" s="1375" t="s">
        <v>182</v>
      </c>
      <c r="C63" s="1374"/>
      <c r="D63" s="1374"/>
      <c r="E63" s="2309"/>
      <c r="F63" s="2308"/>
      <c r="G63" s="1374"/>
      <c r="H63" s="1374"/>
      <c r="I63" s="1374"/>
      <c r="J63" s="1374"/>
      <c r="K63" s="1374"/>
      <c r="L63" s="1374"/>
      <c r="M63" s="1377"/>
      <c r="N63" s="1379"/>
      <c r="O63" s="1379"/>
      <c r="P63" s="351"/>
      <c r="Q63" s="1316"/>
      <c r="R63" s="1317"/>
      <c r="S63" s="1316"/>
      <c r="T63" s="1316"/>
      <c r="U63" s="1322"/>
      <c r="V63" s="1325" t="s">
        <v>420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181</v>
      </c>
      <c r="B64" s="1375"/>
      <c r="C64" s="1375"/>
      <c r="D64" s="1375"/>
      <c r="E64" s="2308"/>
      <c r="F64" s="1375"/>
      <c r="G64" s="1375"/>
      <c r="H64" s="1375"/>
      <c r="I64" s="1375"/>
      <c r="J64" s="1375"/>
      <c r="K64" s="1375"/>
      <c r="L64" s="1375"/>
      <c r="M64" s="1381"/>
      <c r="N64" s="1379"/>
      <c r="O64" s="1379"/>
      <c r="P64" s="351"/>
      <c r="Q64" s="380"/>
      <c r="R64" s="1344"/>
      <c r="S64" s="380"/>
      <c r="T64" s="380"/>
      <c r="U64" s="1322"/>
      <c r="V64" s="1325" t="s">
        <v>421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55">
        <v>34</v>
      </c>
    </row>
    <row customHeight="1" ht="21">
      <c r="P68" s="509"/>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55">
        <v>20</v>
      </c>
    </row>
    <row customHeight="1" ht="14.699999999999998">
      <c r="P69" s="509"/>
      <c r="AW69" s="1155">
        <v>14</v>
      </c>
    </row>
    <row customHeight="1" ht="28.5">
      <c r="P70" s="509"/>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55">
        <v>27</v>
      </c>
    </row>
    <row customHeight="1" ht="18.75">
      <c r="P71" s="509"/>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87AFF9-7038-1318-6394-7403289FFB55}" mc:Ignorable="x14ac xr xr2 xr3">
  <sheetPr>
    <tabColor rgb="FFCCCCFF"/>
  </sheetPr>
  <dimension ref="A1:Q79"/>
  <sheetViews>
    <sheetView topLeftCell="C14"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44"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PP110.OPEN.INFO.BALANCE.HEAT.EIAS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7" t="s">
        <v>20</v>
      </c>
      <c r="D11" s="75"/>
      <c r="E11" s="1165" t="s">
        <v>21</v>
      </c>
      <c r="F11" s="1731" t="s">
        <v>22</v>
      </c>
      <c r="G11" s="77"/>
      <c r="H11" s="773" t="s">
        <v>23</v>
      </c>
      <c r="J11" s="876" t="s">
        <v>24</v>
      </c>
      <c r="Q11" s="74">
        <v>0</v>
      </c>
    </row>
    <row customHeight="1" ht="22.5" hidden="1">
      <c r="A12" s="2117"/>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16" t="s">
        <v>38</v>
      </c>
      <c r="G17" s="73"/>
      <c r="H17" s="773" t="s">
        <v>23</v>
      </c>
      <c r="Q17" s="74">
        <v>20</v>
      </c>
    </row>
    <row customHeight="1" ht="25.5" hidden="1">
      <c r="D18" s="75"/>
      <c r="E18" s="1774" t="s">
        <v>39</v>
      </c>
      <c r="F18" s="1732"/>
      <c r="G18" s="73"/>
      <c r="I18" s="774"/>
      <c r="J18" s="2116"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6"/>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c r="A50" s="785"/>
      <c r="B50" s="426"/>
      <c r="C50" s="427"/>
      <c r="D50" s="239"/>
      <c r="E50" s="237"/>
      <c r="F50" s="240"/>
      <c r="G50" s="77"/>
      <c r="H50" s="409"/>
      <c r="I50" s="411"/>
      <c r="J50" s="876"/>
      <c r="Q50" s="430">
        <v>0</v>
      </c>
    </row>
    <row s="1635" customFormat="1" customHeight="1" ht="28.5">
      <c r="A51" s="786"/>
      <c r="B51" s="413"/>
      <c r="C51" s="530"/>
      <c r="D51" s="531"/>
      <c r="E51" s="391" t="s">
        <v>61</v>
      </c>
      <c r="F51" s="710" t="s">
        <v>19</v>
      </c>
      <c r="G51" s="532"/>
      <c r="I51" s="534"/>
      <c r="J51" s="878"/>
      <c r="P51" s="535"/>
      <c r="Q51" s="533">
        <v>0</v>
      </c>
    </row>
    <row s="1612" customFormat="1" customHeight="1" ht="6">
      <c r="A52" s="785"/>
      <c r="B52" s="426"/>
      <c r="C52" s="427"/>
      <c r="D52" s="239"/>
      <c r="E52" s="237"/>
      <c r="F52" s="240"/>
      <c r="G52" s="77"/>
      <c r="H52" s="409"/>
      <c r="I52" s="411"/>
      <c r="J52" s="874"/>
      <c r="Q52" s="430">
        <v>0</v>
      </c>
    </row>
    <row s="1635" customFormat="1" customHeight="1" ht="27">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3"/>
      <c r="G54" s="532"/>
      <c r="I54" s="534"/>
      <c r="J54" s="878"/>
      <c r="P54" s="535"/>
      <c r="Q54" s="533">
        <v>0</v>
      </c>
    </row>
    <row s="1612" customFormat="1" customHeight="1" ht="6">
      <c r="A55" s="785"/>
      <c r="B55" s="426"/>
      <c r="C55" s="427"/>
      <c r="D55" s="239"/>
      <c r="E55" s="237"/>
      <c r="F55" s="240"/>
      <c r="G55" s="77"/>
      <c r="H55" s="409"/>
      <c r="I55" s="411"/>
      <c r="J55" s="874"/>
      <c r="Q55" s="430">
        <v>0</v>
      </c>
    </row>
    <row s="1635" customFormat="1" customHeight="1" ht="25.5">
      <c r="A56" s="786"/>
      <c r="B56" s="413"/>
      <c r="C56" s="530"/>
      <c r="D56" s="531"/>
      <c r="E56" s="391" t="s">
        <v>64</v>
      </c>
      <c r="F56" s="1048" t="s">
        <v>19</v>
      </c>
      <c r="G56" s="532"/>
      <c r="I56" s="534"/>
      <c r="J56" s="878"/>
      <c r="P56" s="535"/>
      <c r="Q56" s="533">
        <v>0</v>
      </c>
    </row>
    <row s="1612" customFormat="1" customHeight="1" ht="6">
      <c r="A57" s="785"/>
      <c r="B57" s="426"/>
      <c r="C57" s="427"/>
      <c r="D57" s="239"/>
      <c r="E57" s="237"/>
      <c r="F57" s="240"/>
      <c r="G57" s="77"/>
      <c r="H57" s="409"/>
      <c r="I57" s="411"/>
      <c r="J57" s="874"/>
      <c r="Q57" s="430">
        <v>0</v>
      </c>
    </row>
    <row s="1635" customFormat="1" customHeight="1" ht="15">
      <c r="A58" s="786"/>
      <c r="B58" s="413"/>
      <c r="C58" s="530"/>
      <c r="D58" s="531"/>
      <c r="E58" s="391" t="s">
        <v>65</v>
      </c>
      <c r="F58" s="1048" t="s">
        <v>66</v>
      </c>
      <c r="G58" s="532"/>
      <c r="I58" s="534"/>
      <c r="J58" s="878"/>
      <c r="P58" s="535"/>
      <c r="Q58" s="533">
        <v>0</v>
      </c>
    </row>
    <row s="1635" customFormat="1" customHeight="1" ht="75">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t="s">
        <v>66</v>
      </c>
      <c r="G59" s="532"/>
      <c r="I59" s="534"/>
      <c r="J59" s="878"/>
      <c r="P59" s="535"/>
      <c r="Q59" s="533">
        <v>0</v>
      </c>
    </row>
    <row s="1635" customFormat="1" customHeight="1" ht="15">
      <c r="A60" s="786"/>
      <c r="B60" s="413"/>
      <c r="C60" s="530"/>
      <c r="D60" s="531"/>
      <c r="E60" s="1165" t="s">
        <v>67</v>
      </c>
      <c r="F60" s="1210" t="s">
        <v>68</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52"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0EBE7838-CC08-CA9D-E003-D86691E25DC8}"/>
    <hyperlink ref="H16" location="Титульный!H9" display="Как заполнить?" tooltip="Помощь по работе с полями отчётной формы" xr:uid="{B2F57578-D848-7788-D498-D930DE6B7094}"/>
    <hyperlink ref="H17" location="Титульный!H9" display="Как заполнить?" tooltip="Помощь по работе с полями отчётной формы" xr:uid="{A91A9C86-35A8-4051-C3DA-260BC5D4C628}"/>
    <hyperlink ref="H39" location="Титульный!H9" display="Как заполнить?" tooltip="Помощь по работе с полями отчётной формы" xr:uid="{D2C2E32C-FFB7-29C8-1668-5FD350EB0C9E}"/>
    <hyperlink ref="H62" location="Титульный!H9" display="Как заполнить?" tooltip="Помощь по работе с полями отчётной формы" xr:uid="{E731E62D-4BF8-F808-1218-69545A584764}"/>
    <hyperlink ref="F70" r:id="rId4" xr:uid="{05210469-16C1-5265-C31F-7039F13073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F243D-8BA8-D218-FF21-113EDD4316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336">
        <f>INDEX(PT_DIFFERENTIATION_NUM_NTAR,MATCH(A2,PT_DIFFERENTIATION_NTAR_ID,0))</f>
      </c>
      <c r="T2" s="298" t="s">
        <v>130</v>
      </c>
      <c r="U2" s="300"/>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58" t="s">
        <v>401</v>
      </c>
      <c r="AW2" s="500"/>
      <c r="AX2" s="500" t="str">
        <f>IF(T2="","",T2)</f>
        <v>Наименование тарифа</v>
      </c>
      <c r="AY2" s="500"/>
      <c r="AZ2" s="500"/>
      <c r="BA2" s="1155">
        <v>0</v>
      </c>
    </row>
    <row customHeight="1" ht="21" hidden="1">
      <c r="A3" s="1363"/>
      <c r="B3" s="1363"/>
      <c r="C3" s="1363"/>
      <c r="D3" s="1363"/>
      <c r="E3" s="2278"/>
      <c r="F3" s="2277">
        <v>1</v>
      </c>
      <c r="G3" s="1363"/>
      <c r="H3" s="1363"/>
      <c r="I3" s="1363"/>
      <c r="J3" s="1363"/>
      <c r="K3" s="1363"/>
      <c r="L3" s="1364"/>
      <c r="M3" s="1365"/>
      <c r="N3" s="1365"/>
      <c r="O3" s="1365"/>
      <c r="P3" s="1410"/>
      <c r="Q3" s="1411"/>
      <c r="R3" s="353"/>
      <c r="S3" s="1336">
        <f>INDEX(PT_DIFFERENTIATION_NUM_TER,MATCH(B3,PT_DIFFERENTIATION_TER_ID,0))</f>
      </c>
      <c r="T3" s="308" t="s">
        <v>402</v>
      </c>
      <c r="U3" s="300"/>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58" t="s">
        <v>403</v>
      </c>
      <c r="AW3" s="500"/>
      <c r="AX3" s="500" t="str">
        <f>IF(T3="","",T3)</f>
        <v>Территория действия тарифа</v>
      </c>
      <c r="AY3" s="500"/>
      <c r="AZ3" s="500"/>
      <c r="BA3" s="1155">
        <v>0</v>
      </c>
    </row>
    <row customHeight="1" ht="22.5" hidden="1">
      <c r="A4" s="1363"/>
      <c r="B4" s="1363"/>
      <c r="C4" s="1363"/>
      <c r="D4" s="1363"/>
      <c r="E4" s="2278"/>
      <c r="F4" s="2278"/>
      <c r="G4" s="2277">
        <v>1</v>
      </c>
      <c r="H4" s="1363"/>
      <c r="I4" s="1363"/>
      <c r="J4" s="1363"/>
      <c r="K4" s="1363"/>
      <c r="L4" s="1364"/>
      <c r="M4" s="1365"/>
      <c r="N4" s="1365"/>
      <c r="O4" s="1365"/>
      <c r="P4" s="1412"/>
      <c r="Q4" s="1411"/>
      <c r="R4" s="353"/>
      <c r="S4" s="1336">
        <f>INDEX(PT_DIFFERENTIATION_NUM_CS,MATCH(C4,PT_DIFFERENTIATION_CS_ID,0))</f>
      </c>
      <c r="T4" s="309" t="s">
        <v>404</v>
      </c>
      <c r="U4" s="300"/>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58" t="s">
        <v>405</v>
      </c>
      <c r="AW4" s="500"/>
      <c r="AX4" s="500" t="str">
        <f>IF(T4="","",T4)</f>
        <v>Наименование системы теплоснабжения </v>
      </c>
      <c r="AY4" s="500"/>
      <c r="AZ4" s="500"/>
      <c r="BA4" s="1155">
        <v>0</v>
      </c>
    </row>
    <row customHeight="1" ht="21" hidden="1">
      <c r="A5" s="1363"/>
      <c r="B5" s="1363"/>
      <c r="C5" s="1363"/>
      <c r="D5" s="1363"/>
      <c r="E5" s="2278"/>
      <c r="F5" s="2278"/>
      <c r="G5" s="2278"/>
      <c r="H5" s="2277">
        <v>1</v>
      </c>
      <c r="I5" s="1363"/>
      <c r="J5" s="1363"/>
      <c r="K5" s="1363"/>
      <c r="L5" s="1364"/>
      <c r="M5" s="1365"/>
      <c r="N5" s="1365"/>
      <c r="O5" s="1365"/>
      <c r="P5" s="1412"/>
      <c r="Q5" s="1411"/>
      <c r="R5" s="353"/>
      <c r="S5" s="1336">
        <f>INDEX(PT_DIFFERENTIATION_NUM_IST_TE,MATCH(D5,PT_DIFFERENTIATION_IST_TE_ID,0))</f>
      </c>
      <c r="T5" s="310" t="s">
        <v>406</v>
      </c>
      <c r="U5" s="300"/>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58" t="s">
        <v>407</v>
      </c>
      <c r="AW5" s="500"/>
      <c r="AX5" s="500" t="str">
        <f>IF(T5="","",T5)</f>
        <v>Источник тепловой энергии  </v>
      </c>
      <c r="AY5" s="500"/>
      <c r="AZ5" s="500"/>
      <c r="BA5" s="1155">
        <v>0</v>
      </c>
    </row>
    <row s="1642" customFormat="1" customHeight="1" ht="0.75" hidden="1">
      <c r="A6" s="1343"/>
      <c r="B6" s="1343"/>
      <c r="C6" s="1343"/>
      <c r="D6" s="1343"/>
      <c r="E6" s="2278"/>
      <c r="F6" s="2278"/>
      <c r="G6" s="2278"/>
      <c r="H6" s="2278"/>
      <c r="I6" s="2275">
        <f>S5&amp;".1"</f>
      </c>
      <c r="J6" s="1343"/>
      <c r="K6" s="1343"/>
      <c r="L6" s="1346" t="s">
        <v>408</v>
      </c>
      <c r="M6" s="510"/>
      <c r="N6" s="510"/>
      <c r="O6" s="510"/>
      <c r="P6" s="2276">
        <v>1</v>
      </c>
      <c r="Q6" s="1331"/>
      <c r="R6" s="356"/>
      <c r="S6" s="1042"/>
      <c r="T6" s="1383"/>
      <c r="U6" s="1384"/>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85"/>
      <c r="AW6" s="500"/>
      <c r="AX6" s="500" t="str">
        <f>IF(T6="","",T6)</f>
        <v/>
      </c>
      <c r="AY6" s="500"/>
      <c r="AZ6" s="500"/>
      <c r="BA6" s="511">
        <v>0</v>
      </c>
    </row>
    <row s="1642" customFormat="1" customHeight="1" ht="0.75" hidden="1">
      <c r="A7" s="1343"/>
      <c r="B7" s="1343"/>
      <c r="C7" s="1343"/>
      <c r="D7" s="1343"/>
      <c r="E7" s="2278"/>
      <c r="F7" s="2278"/>
      <c r="G7" s="2278"/>
      <c r="H7" s="2278"/>
      <c r="I7" s="2305"/>
      <c r="J7" s="2275">
        <f>S5&amp;".1"</f>
      </c>
      <c r="K7" s="1343"/>
      <c r="L7" s="1346"/>
      <c r="M7" s="510"/>
      <c r="N7" s="510"/>
      <c r="O7" s="510"/>
      <c r="P7" s="2276"/>
      <c r="Q7" s="2276">
        <v>1</v>
      </c>
      <c r="R7" s="357"/>
      <c r="S7" s="1042"/>
      <c r="T7" s="1399"/>
      <c r="U7" s="1384"/>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85"/>
      <c r="AW7" s="500"/>
      <c r="AX7" s="500" t="str">
        <f>IF(T7="","",T7)</f>
        <v/>
      </c>
      <c r="AY7" s="500"/>
      <c r="AZ7" s="500"/>
      <c r="BA7" s="511">
        <v>0</v>
      </c>
    </row>
    <row customHeight="1" ht="21" hidden="1">
      <c r="A8" s="1363"/>
      <c r="B8" s="1363"/>
      <c r="C8" s="1363"/>
      <c r="D8" s="1363"/>
      <c r="E8" s="2278"/>
      <c r="F8" s="2278"/>
      <c r="G8" s="2278"/>
      <c r="H8" s="2278"/>
      <c r="I8" s="2305"/>
      <c r="J8" s="2305"/>
      <c r="K8" s="2275">
        <f>S5&amp;".1"</f>
      </c>
      <c r="L8" s="1364"/>
      <c r="P8" s="2276"/>
      <c r="Q8" s="2276"/>
      <c r="R8" s="2366">
        <v>1</v>
      </c>
      <c r="S8" s="2360">
        <f>$K8</f>
      </c>
      <c r="T8" s="2363"/>
      <c r="U8" s="300"/>
      <c r="V8" s="751"/>
      <c r="W8" s="1257"/>
      <c r="X8" s="2284"/>
      <c r="Y8" s="2126" t="s">
        <v>66</v>
      </c>
      <c r="Z8" s="2284"/>
      <c r="AA8" s="2126" t="s">
        <v>66</v>
      </c>
      <c r="AB8" s="2126" t="s">
        <v>19</v>
      </c>
      <c r="AC8" s="2345"/>
      <c r="AD8" s="2224">
        <v>1</v>
      </c>
      <c r="AE8" s="2346"/>
      <c r="AF8" s="2126" t="s">
        <v>19</v>
      </c>
      <c r="AG8" s="2345"/>
      <c r="AH8" s="2224">
        <v>1</v>
      </c>
      <c r="AI8" s="2346"/>
      <c r="AJ8" s="2126" t="s">
        <v>19</v>
      </c>
      <c r="AK8" s="311"/>
      <c r="AL8" s="1337">
        <v>1</v>
      </c>
      <c r="AM8" s="1398"/>
      <c r="AN8" s="751"/>
      <c r="AO8" s="1257"/>
      <c r="AP8" s="1733"/>
      <c r="AQ8" s="1459" t="s">
        <v>66</v>
      </c>
      <c r="AR8" s="1733"/>
      <c r="AS8" s="1459" t="s">
        <v>66</v>
      </c>
      <c r="AT8" s="1348"/>
      <c r="AU8" s="2272" t="s">
        <v>465</v>
      </c>
      <c r="AV8" s="511">
        <f>STRCHECKDATE(V11:AT11)</f>
      </c>
      <c r="AW8" s="500"/>
      <c r="AX8" s="500" t="str">
        <f>IF(T8="","",T8)</f>
        <v/>
      </c>
      <c r="AY8" s="500"/>
      <c r="AZ8" s="500"/>
      <c r="BA8" s="1155">
        <v>0</v>
      </c>
    </row>
    <row customHeight="1" ht="11.25" hidden="1">
      <c r="A9" s="1363"/>
      <c r="B9" s="1363"/>
      <c r="C9" s="1363"/>
      <c r="D9" s="1363"/>
      <c r="E9" s="2278"/>
      <c r="F9" s="2278"/>
      <c r="G9" s="2278"/>
      <c r="H9" s="2278"/>
      <c r="I9" s="2305"/>
      <c r="J9" s="2305"/>
      <c r="K9" s="2275"/>
      <c r="L9" s="1364"/>
      <c r="P9" s="2276"/>
      <c r="Q9" s="2276"/>
      <c r="R9" s="2366"/>
      <c r="S9" s="2361"/>
      <c r="T9" s="2364"/>
      <c r="U9" s="300"/>
      <c r="V9" s="1393"/>
      <c r="W9" s="1397"/>
      <c r="X9" s="2284"/>
      <c r="Y9" s="2126"/>
      <c r="Z9" s="2284"/>
      <c r="AA9" s="2126"/>
      <c r="AB9" s="2126"/>
      <c r="AC9" s="2345"/>
      <c r="AD9" s="2224"/>
      <c r="AE9" s="2346"/>
      <c r="AF9" s="2126"/>
      <c r="AG9" s="2345"/>
      <c r="AH9" s="2224"/>
      <c r="AI9" s="2346"/>
      <c r="AJ9" s="2126"/>
      <c r="AK9" s="316"/>
      <c r="AL9" s="416"/>
      <c r="AM9" s="415" t="s">
        <v>466</v>
      </c>
      <c r="AN9" s="1393"/>
      <c r="AO9" s="1496"/>
      <c r="AP9" s="1393"/>
      <c r="AQ9" s="1393"/>
      <c r="AR9" s="1393"/>
      <c r="AS9" s="1393"/>
      <c r="AT9" s="1390"/>
      <c r="AU9" s="2273"/>
      <c r="AW9" s="500"/>
      <c r="AX9" s="500"/>
      <c r="AY9" s="500"/>
      <c r="AZ9" s="500"/>
      <c r="BA9" s="1155">
        <v>0</v>
      </c>
    </row>
    <row customHeight="1" ht="11.25" hidden="1">
      <c r="A10" s="1363"/>
      <c r="B10" s="1363"/>
      <c r="C10" s="1363"/>
      <c r="D10" s="1363"/>
      <c r="E10" s="2278"/>
      <c r="F10" s="2278"/>
      <c r="G10" s="2278"/>
      <c r="H10" s="2278"/>
      <c r="I10" s="2305"/>
      <c r="J10" s="2305"/>
      <c r="K10" s="2275"/>
      <c r="L10" s="1364"/>
      <c r="P10" s="2276"/>
      <c r="Q10" s="2276"/>
      <c r="R10" s="2366"/>
      <c r="S10" s="2361"/>
      <c r="T10" s="2364"/>
      <c r="U10" s="300"/>
      <c r="V10" s="1393"/>
      <c r="W10" s="1397"/>
      <c r="X10" s="2284"/>
      <c r="Y10" s="2126"/>
      <c r="Z10" s="2284"/>
      <c r="AA10" s="2126"/>
      <c r="AB10" s="2126"/>
      <c r="AC10" s="2345"/>
      <c r="AD10" s="2224"/>
      <c r="AE10" s="2346"/>
      <c r="AF10" s="2126"/>
      <c r="AG10" s="294"/>
      <c r="AH10" s="415"/>
      <c r="AI10" s="415" t="s">
        <v>467</v>
      </c>
      <c r="AJ10" s="1393"/>
      <c r="AK10" s="1393"/>
      <c r="AL10" s="1393"/>
      <c r="AM10" s="1393"/>
      <c r="AN10" s="1393"/>
      <c r="AO10" s="1496"/>
      <c r="AP10" s="1393"/>
      <c r="AQ10" s="1393"/>
      <c r="AR10" s="1393"/>
      <c r="AS10" s="1393"/>
      <c r="AT10" s="1390"/>
      <c r="AU10" s="2273"/>
      <c r="AW10" s="500"/>
      <c r="AX10" s="500"/>
      <c r="AY10" s="500"/>
      <c r="AZ10" s="500"/>
      <c r="BA10" s="1155">
        <v>0</v>
      </c>
    </row>
    <row customHeight="1" ht="11.25" hidden="1">
      <c r="A11" s="1363"/>
      <c r="B11" s="1363"/>
      <c r="C11" s="1363"/>
      <c r="D11" s="1363"/>
      <c r="E11" s="2278"/>
      <c r="F11" s="2278"/>
      <c r="G11" s="2278"/>
      <c r="H11" s="2278"/>
      <c r="I11" s="2305"/>
      <c r="J11" s="2305"/>
      <c r="K11" s="2275"/>
      <c r="L11" s="1364"/>
      <c r="P11" s="2276"/>
      <c r="Q11" s="2276"/>
      <c r="R11" s="2366"/>
      <c r="S11" s="2362"/>
      <c r="T11" s="2365"/>
      <c r="U11" s="300"/>
      <c r="V11" s="1393"/>
      <c r="W11" s="1396" t="str">
        <f>X8&amp;"-"&amp;Z8</f>
        <v>-</v>
      </c>
      <c r="X11" s="2285"/>
      <c r="Y11" s="2126"/>
      <c r="Z11" s="2285"/>
      <c r="AA11" s="2126"/>
      <c r="AB11" s="2126"/>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73"/>
      <c r="AW11" s="500"/>
      <c r="AX11" s="500" t="str">
        <f>IF(T11="","",T11)</f>
        <v/>
      </c>
      <c r="AY11" s="500"/>
      <c r="AZ11" s="500"/>
      <c r="BA11" s="1155">
        <v>0</v>
      </c>
    </row>
    <row customHeight="1" ht="11.25" hidden="1">
      <c r="A12" s="1363"/>
      <c r="B12" s="1363"/>
      <c r="C12" s="1363"/>
      <c r="D12" s="1363"/>
      <c r="E12" s="2278"/>
      <c r="F12" s="2278"/>
      <c r="G12" s="2278"/>
      <c r="H12" s="2278"/>
      <c r="I12" s="2305"/>
      <c r="J12" s="2275"/>
      <c r="K12" s="1363"/>
      <c r="L12" s="1364"/>
      <c r="P12" s="2276"/>
      <c r="Q12" s="2276"/>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74"/>
      <c r="AW12" s="500"/>
      <c r="AX12" s="500" t="str">
        <f>IF(T12="","",T12)</f>
        <v>Добавить строку</v>
      </c>
      <c r="AY12" s="500"/>
      <c r="AZ12" s="500"/>
      <c r="BA12" s="1155">
        <v>0</v>
      </c>
    </row>
    <row s="1642" customFormat="1" customHeight="1" ht="0.75" hidden="1">
      <c r="A13" s="1343"/>
      <c r="B13" s="1343"/>
      <c r="C13" s="1343"/>
      <c r="D13" s="1343"/>
      <c r="E13" s="2278"/>
      <c r="F13" s="2278"/>
      <c r="G13" s="2278"/>
      <c r="H13" s="2278"/>
      <c r="I13" s="2275"/>
      <c r="J13" s="1343"/>
      <c r="K13" s="1343"/>
      <c r="L13" s="1346"/>
      <c r="M13" s="510"/>
      <c r="N13" s="510"/>
      <c r="O13" s="510"/>
      <c r="P13" s="2276"/>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8"/>
      <c r="F14" s="2278"/>
      <c r="G14" s="2278"/>
      <c r="H14" s="2277"/>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8"/>
      <c r="F15" s="2278"/>
      <c r="G15" s="2277"/>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8"/>
      <c r="F16" s="2277"/>
      <c r="G16" s="1314"/>
      <c r="H16" s="1314"/>
      <c r="I16" s="1314"/>
      <c r="J16" s="1314"/>
      <c r="K16" s="1314"/>
      <c r="L16" s="1339"/>
      <c r="M16" s="1321"/>
      <c r="N16" s="1321"/>
      <c r="P16" s="1316"/>
      <c r="Q16" s="1317"/>
      <c r="R16" s="1316"/>
      <c r="S16" s="1322"/>
      <c r="T16" s="1325" t="s">
        <v>420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7"/>
      <c r="F17" s="1343"/>
      <c r="G17" s="1343"/>
      <c r="H17" s="1343"/>
      <c r="I17" s="1343"/>
      <c r="J17" s="1343"/>
      <c r="K17" s="1343"/>
      <c r="L17" s="1346"/>
      <c r="M17" s="1321"/>
      <c r="N17" s="1321"/>
      <c r="O17" s="518"/>
      <c r="P17" s="380"/>
      <c r="Q17" s="1344"/>
      <c r="R17" s="380"/>
      <c r="S17" s="1322"/>
      <c r="T17" s="1325" t="s">
        <v>421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66</v>
      </c>
      <c r="AR19" s="1735"/>
      <c r="AS19" s="1460" t="s">
        <v>66</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470</v>
      </c>
      <c r="AE23" s="1507" t="s">
        <v>471</v>
      </c>
      <c r="AF23" s="1507" t="s">
        <v>470</v>
      </c>
      <c r="AI23" s="1507" t="s">
        <v>472</v>
      </c>
      <c r="AJ23" s="1507" t="s">
        <v>470</v>
      </c>
      <c r="AM23" s="1507" t="s">
        <v>473</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3"/>
      <c r="BA27" s="1155">
        <v>26</v>
      </c>
    </row>
    <row customHeight="1" ht="14.699999999999998">
      <c r="Q28" s="291"/>
      <c r="R28" s="376"/>
      <c r="S28" s="2268" t="str">
        <f>IF(org=0,"Не определено",org)</f>
        <v>Муниципальное унитарное предприятие "Невельские коммунальные сети"</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2"/>
      <c r="V30" s="2270" t="str">
        <f>IF(TITLE_NAME_OR_PR_CHANGE="",IF(TITLE_NAME_OR_PR="","",TITLE_NAME_OR_PR),TITLE_NAME_OR_PR_CHANGE)</f>
        <v/>
      </c>
      <c r="W30" s="2270"/>
      <c r="X30" s="2270"/>
      <c r="Y30" s="2270"/>
      <c r="Z30" s="2270"/>
      <c r="AA30" s="326"/>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9" t="str">
        <f>"Дата документа об "&amp;IF(TITLE_DATE_PR_CHANGE="","утверждении","изменении")&amp;" тарифов"</f>
        <v>Дата документа об утверждении тарифов</v>
      </c>
      <c r="T31" s="2269"/>
      <c r="U31" s="1372"/>
      <c r="V31" s="2283" t="str">
        <f>IF(TITLE_DATE_PR_CHANGE="",IF(TITLE_DATE_PR="","",TITLE_DATE_PR),TITLE_DATE_PR_CHANGE)</f>
        <v/>
      </c>
      <c r="W31" s="2283"/>
      <c r="X31" s="2283"/>
      <c r="Y31" s="2283"/>
      <c r="Z31" s="2283"/>
      <c r="AA31" s="326"/>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"Номер документа об "&amp;IF(TITLE_DATE_PR_CHANGE="","утверждении","изменении")&amp;" тарифов"</f>
        <v>Номер документа об утверждении тарифов</v>
      </c>
      <c r="T32" s="2269"/>
      <c r="U32" s="1372"/>
      <c r="V32" s="2270" t="str">
        <f>IF(TITLE_NUMBER_PR_CHANGE="",IF(TITLE_NUMBER_PR="","",TITLE_NUMBER_PR),TITLE_NUMBER_PR_CHANGE)</f>
        <v/>
      </c>
      <c r="W32" s="2270"/>
      <c r="X32" s="2270"/>
      <c r="Y32" s="2270"/>
      <c r="Z32" s="2270"/>
      <c r="AA32" s="326"/>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43</v>
      </c>
      <c r="T33" s="2269"/>
      <c r="U33" s="1372"/>
      <c r="V33" s="2270" t="str">
        <f>IF(TITLE_IST_PUB_CHANGE="",IF(TITLE_IST_PUB="","",TITLE_IST_PUB),TITLE_IST_PUB_CHANGE)</f>
        <v/>
      </c>
      <c r="W33" s="2270"/>
      <c r="X33" s="2270"/>
      <c r="Y33" s="2270"/>
      <c r="Z33" s="2270"/>
      <c r="AA33" s="326"/>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9" t="str">
        <f>"Дата подачи заявления об "&amp;IF(TITLE_DATE_PR_CHANGE="","утверждении","изменении")&amp;" тарифов"</f>
        <v>Дата подачи заявления об утверждении тарифов</v>
      </c>
      <c r="T35" s="2269"/>
      <c r="U35" s="1372"/>
      <c r="V35" s="2283" t="str">
        <f>IF(TITLE_DATE_PR_CHANGE="",IF(TITLE_DATE_PR="","",TITLE_DATE_PR),TITLE_DATE_PR_CHANGE)</f>
        <v/>
      </c>
      <c r="W35" s="2283"/>
      <c r="X35" s="2283"/>
      <c r="Y35" s="2283"/>
      <c r="Z35" s="2283"/>
      <c r="AA35" s="326"/>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9" t="str">
        <f>"Номер подачи заявления об "&amp;IF(TITLE_DATE_PR_CHANGE="","утверждении","изменении")&amp;" тарифов"</f>
        <v>Номер подачи заявления об утверждении тарифов</v>
      </c>
      <c r="T36" s="2269"/>
      <c r="U36" s="1372"/>
      <c r="V36" s="2270" t="str">
        <f>IF(TITLE_NUMBER_PR_CHANGE="",IF(TITLE_NUMBER_PR="","",TITLE_NUMBER_PR),TITLE_NUMBER_PR_CHANGE)</f>
        <v/>
      </c>
      <c r="W36" s="2270"/>
      <c r="X36" s="2270"/>
      <c r="Y36" s="2270"/>
      <c r="Z36" s="2270"/>
      <c r="AA36" s="326"/>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55">
        <v>14</v>
      </c>
    </row>
    <row customHeight="1" ht="14.699999999999998">
      <c r="Q39" s="291"/>
      <c r="R39" s="376"/>
      <c r="S39" s="2146" t="s">
        <v>305</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306</v>
      </c>
      <c r="BA39" s="1155">
        <v>14</v>
      </c>
    </row>
    <row customHeight="1" ht="14.699999999999998">
      <c r="Q40" s="291"/>
      <c r="R40" s="376"/>
      <c r="S40" s="2292" t="s">
        <v>89</v>
      </c>
      <c r="T40" s="2228" t="s">
        <v>474</v>
      </c>
      <c r="U40" s="301"/>
      <c r="V40" s="2294"/>
      <c r="W40" s="2294"/>
      <c r="X40" s="2294"/>
      <c r="Y40" s="2294"/>
      <c r="Z40" s="2295"/>
      <c r="AA40" s="2355" t="s">
        <v>431</v>
      </c>
      <c r="AB40" s="2347" t="s">
        <v>475</v>
      </c>
      <c r="AC40" s="2310"/>
      <c r="AD40" s="2310"/>
      <c r="AE40" s="2348"/>
      <c r="AF40" s="2310" t="s">
        <v>476</v>
      </c>
      <c r="AG40" s="2310"/>
      <c r="AH40" s="2310"/>
      <c r="AI40" s="2348"/>
      <c r="AJ40" s="2347" t="s">
        <v>477</v>
      </c>
      <c r="AK40" s="2310"/>
      <c r="AL40" s="2310"/>
      <c r="AM40" s="2348"/>
      <c r="AN40" s="2347" t="s">
        <v>430</v>
      </c>
      <c r="AO40" s="2310"/>
      <c r="AP40" s="2294"/>
      <c r="AQ40" s="2294"/>
      <c r="AR40" s="2295"/>
      <c r="AS40" s="2296" t="s">
        <v>431</v>
      </c>
      <c r="AT40" s="2299" t="s">
        <v>433</v>
      </c>
      <c r="AU40" s="2146"/>
      <c r="BA40" s="1155">
        <v>14</v>
      </c>
    </row>
    <row customHeight="1" ht="35.699999999999996">
      <c r="Q41" s="291"/>
      <c r="R41" s="376"/>
      <c r="S41" s="2292"/>
      <c r="T41" s="2228"/>
      <c r="U41" s="1031"/>
      <c r="V41" s="2146" t="s">
        <v>478</v>
      </c>
      <c r="W41" s="2146"/>
      <c r="X41" s="2313" t="s">
        <v>437</v>
      </c>
      <c r="Y41" s="2332"/>
      <c r="Z41" s="2333"/>
      <c r="AA41" s="2356"/>
      <c r="AB41" s="2349"/>
      <c r="AC41" s="2350"/>
      <c r="AD41" s="2350"/>
      <c r="AE41" s="2351"/>
      <c r="AF41" s="2350"/>
      <c r="AG41" s="2350"/>
      <c r="AH41" s="2350"/>
      <c r="AI41" s="2351"/>
      <c r="AJ41" s="2349"/>
      <c r="AK41" s="2350"/>
      <c r="AL41" s="2350"/>
      <c r="AM41" s="2350"/>
      <c r="AN41" s="2146" t="s">
        <v>478</v>
      </c>
      <c r="AO41" s="2146"/>
      <c r="AP41" s="2332" t="s">
        <v>437</v>
      </c>
      <c r="AQ41" s="2332"/>
      <c r="AR41" s="2333"/>
      <c r="AS41" s="2297"/>
      <c r="AT41" s="2300"/>
      <c r="AU41" s="2146"/>
      <c r="BA41" s="1155">
        <v>34</v>
      </c>
    </row>
    <row customHeight="1" ht="14.699999999999998">
      <c r="Q42" s="291"/>
      <c r="R42" s="376"/>
      <c r="S42" s="2292"/>
      <c r="T42" s="2228"/>
      <c r="U42" s="1031"/>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55">
        <v>14</v>
      </c>
    </row>
    <row customHeight="1" ht="14.699999999999998">
      <c r="A43" s="1370"/>
      <c r="B43" s="1370" t="s">
        <v>142</v>
      </c>
      <c r="C43" s="1370" t="s">
        <v>143</v>
      </c>
      <c r="D43" s="1370" t="s">
        <v>144</v>
      </c>
      <c r="E43" s="1364" t="s">
        <v>438</v>
      </c>
      <c r="F43" s="1364" t="s">
        <v>439</v>
      </c>
      <c r="G43" s="1364" t="s">
        <v>440</v>
      </c>
      <c r="H43" s="1364" t="s">
        <v>441</v>
      </c>
      <c r="I43" s="1364" t="s">
        <v>442</v>
      </c>
      <c r="J43" s="1364" t="s">
        <v>443</v>
      </c>
      <c r="K43" s="1364" t="s">
        <v>444</v>
      </c>
      <c r="L43" s="1364" t="s">
        <v>423</v>
      </c>
      <c r="Q43" s="291"/>
      <c r="R43" s="376"/>
      <c r="S43" s="2292"/>
      <c r="T43" s="2228"/>
      <c r="U43" s="302"/>
      <c r="V43" s="1330" t="s">
        <v>479</v>
      </c>
      <c r="W43" s="1330" t="s">
        <v>480</v>
      </c>
      <c r="X43" s="1338" t="s">
        <v>447</v>
      </c>
      <c r="Y43" s="2289" t="s">
        <v>448</v>
      </c>
      <c r="Z43" s="2290"/>
      <c r="AA43" s="2357"/>
      <c r="AB43" s="2352"/>
      <c r="AC43" s="2353"/>
      <c r="AD43" s="2353"/>
      <c r="AE43" s="2354"/>
      <c r="AF43" s="2353"/>
      <c r="AG43" s="2353"/>
      <c r="AH43" s="2353"/>
      <c r="AI43" s="2354"/>
      <c r="AJ43" s="2352"/>
      <c r="AK43" s="2353"/>
      <c r="AL43" s="2353"/>
      <c r="AM43" s="2354"/>
      <c r="AN43" s="1857" t="s">
        <v>479</v>
      </c>
      <c r="AO43" s="1857" t="s">
        <v>480</v>
      </c>
      <c r="AP43" s="1338" t="s">
        <v>447</v>
      </c>
      <c r="AQ43" s="2289" t="s">
        <v>448</v>
      </c>
      <c r="AR43" s="2290"/>
      <c r="AS43" s="2298"/>
      <c r="AT43" s="2301"/>
      <c r="AU43" s="2146"/>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205</v>
      </c>
      <c r="B45" s="1363"/>
      <c r="C45" s="1363"/>
      <c r="D45" s="1363"/>
      <c r="E45" s="2277">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130</v>
      </c>
      <c r="U45" s="300"/>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205</v>
      </c>
      <c r="B46" s="1363" t="s">
        <v>206</v>
      </c>
      <c r="C46" s="1363"/>
      <c r="D46" s="1363"/>
      <c r="E46" s="2278"/>
      <c r="F46" s="2277">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58" t="s">
        <v>403</v>
      </c>
      <c r="AW46" s="500"/>
      <c r="AX46" s="500" t="str">
        <f>IF(T46="","",T46)</f>
        <v>Территория действия тарифа</v>
      </c>
      <c r="AY46" s="500"/>
      <c r="AZ46" s="500"/>
      <c r="BA46" s="1155">
        <v>21</v>
      </c>
    </row>
    <row customHeight="1" ht="24">
      <c r="A47" s="1363" t="s">
        <v>205</v>
      </c>
      <c r="B47" s="1363" t="s">
        <v>206</v>
      </c>
      <c r="C47" s="1363" t="s">
        <v>207</v>
      </c>
      <c r="D47" s="1363"/>
      <c r="E47" s="2278"/>
      <c r="F47" s="2278"/>
      <c r="G47" s="2277">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58" t="s">
        <v>405</v>
      </c>
      <c r="AW47" s="500"/>
      <c r="AX47" s="500" t="str">
        <f>IF(T47="","",T47)</f>
        <v>Наименование системы теплоснабжения </v>
      </c>
      <c r="AY47" s="500"/>
      <c r="AZ47" s="500"/>
      <c r="BA47" s="1155">
        <v>23</v>
      </c>
    </row>
    <row customHeight="1" ht="21">
      <c r="A48" s="1363" t="s">
        <v>205</v>
      </c>
      <c r="B48" s="1363" t="s">
        <v>206</v>
      </c>
      <c r="C48" s="1363" t="s">
        <v>207</v>
      </c>
      <c r="D48" s="1363" t="s">
        <v>208</v>
      </c>
      <c r="E48" s="2278"/>
      <c r="F48" s="2278"/>
      <c r="G48" s="2278"/>
      <c r="H48" s="2277">
        <v>1</v>
      </c>
      <c r="I48" s="1363"/>
      <c r="J48" s="1363"/>
      <c r="K48" s="1363"/>
      <c r="L48" s="1364"/>
      <c r="M48" s="1365"/>
      <c r="N48" s="1365"/>
      <c r="O48" s="1365"/>
      <c r="P48" s="1412"/>
      <c r="Q48" s="1411"/>
      <c r="R48" s="353"/>
      <c r="S48" s="1336" t="str">
        <f>INDEX(PT_DIFFERENTIATION_NUM_IST_TE,MATCH(D48,PT_DIFFERENTIATION_IST_TE_ID,0))</f>
        <v>...</v>
      </c>
      <c r="T48" s="310" t="s">
        <v>406</v>
      </c>
      <c r="U48" s="300"/>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58" t="s">
        <v>407</v>
      </c>
      <c r="AW48" s="500"/>
      <c r="AX48" s="500" t="str">
        <f>IF(T48="","",T48)</f>
        <v>Источник тепловой энергии  </v>
      </c>
      <c r="AY48" s="500"/>
      <c r="AZ48" s="500"/>
      <c r="BA48" s="1155">
        <v>20</v>
      </c>
    </row>
    <row s="1642" customFormat="1" customHeight="1" ht="1.05">
      <c r="A49" s="1343" t="s">
        <v>205</v>
      </c>
      <c r="B49" s="1343" t="s">
        <v>206</v>
      </c>
      <c r="C49" s="1343" t="s">
        <v>207</v>
      </c>
      <c r="D49" s="1343" t="s">
        <v>208</v>
      </c>
      <c r="E49" s="2278"/>
      <c r="F49" s="2278"/>
      <c r="G49" s="2278"/>
      <c r="H49" s="2278"/>
      <c r="I49" s="2275" t="str">
        <f>S48&amp;".1"</f>
        <v>....1</v>
      </c>
      <c r="J49" s="1343"/>
      <c r="K49" s="1343"/>
      <c r="L49" s="1346" t="s">
        <v>408</v>
      </c>
      <c r="M49" s="510"/>
      <c r="N49" s="510"/>
      <c r="O49" s="510"/>
      <c r="P49" s="2276">
        <v>1</v>
      </c>
      <c r="Q49" s="1331"/>
      <c r="R49" s="356"/>
      <c r="S49" s="1042"/>
      <c r="T49" s="1383"/>
      <c r="U49" s="1384"/>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85"/>
      <c r="AW49" s="500"/>
      <c r="AX49" s="500" t="str">
        <f>IF(T49="","",T49)</f>
        <v/>
      </c>
      <c r="AY49" s="500"/>
      <c r="AZ49" s="500"/>
      <c r="BA49" s="511">
        <v>1</v>
      </c>
    </row>
    <row s="1642" customFormat="1" customHeight="1" ht="1.05">
      <c r="A50" s="1343" t="s">
        <v>205</v>
      </c>
      <c r="B50" s="1343" t="s">
        <v>206</v>
      </c>
      <c r="C50" s="1343" t="s">
        <v>207</v>
      </c>
      <c r="D50" s="1343" t="s">
        <v>208</v>
      </c>
      <c r="E50" s="2278"/>
      <c r="F50" s="2278"/>
      <c r="G50" s="2278"/>
      <c r="H50" s="2278"/>
      <c r="I50" s="2305"/>
      <c r="J50" s="2275" t="str">
        <f>S48&amp;".1"</f>
        <v>....1</v>
      </c>
      <c r="K50" s="1343"/>
      <c r="L50" s="1346"/>
      <c r="M50" s="510"/>
      <c r="N50" s="510"/>
      <c r="O50" s="510"/>
      <c r="P50" s="2276"/>
      <c r="Q50" s="2276">
        <v>1</v>
      </c>
      <c r="R50" s="357"/>
      <c r="S50" s="1042"/>
      <c r="T50" s="1399"/>
      <c r="U50" s="1384"/>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85"/>
      <c r="AW50" s="500"/>
      <c r="AX50" s="500" t="str">
        <f>IF(T50="","",T50)</f>
        <v/>
      </c>
      <c r="AY50" s="500"/>
      <c r="AZ50" s="500"/>
      <c r="BA50" s="511">
        <v>1</v>
      </c>
    </row>
    <row customHeight="1" ht="22.049999999999997">
      <c r="A51" s="1363" t="s">
        <v>205</v>
      </c>
      <c r="B51" s="1363" t="s">
        <v>206</v>
      </c>
      <c r="C51" s="1363" t="s">
        <v>207</v>
      </c>
      <c r="D51" s="1363" t="s">
        <v>208</v>
      </c>
      <c r="E51" s="2278"/>
      <c r="F51" s="2278"/>
      <c r="G51" s="2278"/>
      <c r="H51" s="2278"/>
      <c r="I51" s="2305"/>
      <c r="J51" s="2305"/>
      <c r="K51" s="2275" t="str">
        <f>S48&amp;".1"</f>
        <v>....1</v>
      </c>
      <c r="L51" s="1364"/>
      <c r="P51" s="2276"/>
      <c r="Q51" s="2276"/>
      <c r="R51" s="357">
        <v>1</v>
      </c>
      <c r="S51" s="2360" t="str">
        <f>$K51</f>
        <v>....1</v>
      </c>
      <c r="T51" s="2363"/>
      <c r="U51" s="300"/>
      <c r="V51" s="751"/>
      <c r="W51" s="1257"/>
      <c r="X51" s="1733"/>
      <c r="Y51" s="1459" t="s">
        <v>66</v>
      </c>
      <c r="Z51" s="1733"/>
      <c r="AA51" s="1459" t="s">
        <v>66</v>
      </c>
      <c r="AB51" s="2126" t="s">
        <v>19</v>
      </c>
      <c r="AC51" s="2345"/>
      <c r="AD51" s="2224">
        <v>1</v>
      </c>
      <c r="AE51" s="2367" t="s">
        <v>22</v>
      </c>
      <c r="AF51" s="2126" t="s">
        <v>19</v>
      </c>
      <c r="AG51" s="2345"/>
      <c r="AH51" s="2224">
        <v>1</v>
      </c>
      <c r="AI51" s="2367" t="s">
        <v>22</v>
      </c>
      <c r="AJ51" s="2126" t="s">
        <v>19</v>
      </c>
      <c r="AK51" s="311"/>
      <c r="AL51" s="1337">
        <v>1</v>
      </c>
      <c r="AM51" s="1402"/>
      <c r="AN51" s="751"/>
      <c r="AO51" s="1257"/>
      <c r="AP51" s="1733"/>
      <c r="AQ51" s="1459" t="s">
        <v>66</v>
      </c>
      <c r="AR51" s="1733"/>
      <c r="AS51" s="1459" t="s">
        <v>66</v>
      </c>
      <c r="AT51" s="1348"/>
      <c r="AU51" s="2272" t="s">
        <v>481</v>
      </c>
      <c r="AV51" s="511">
        <f>STRCHECKDATE(V54:AT54)</f>
      </c>
      <c r="AW51" s="500"/>
      <c r="AX51" s="500" t="str">
        <f>IF(T51="","",T51)</f>
        <v/>
      </c>
      <c r="AY51" s="500"/>
      <c r="AZ51" s="500"/>
      <c r="BA51" s="1155">
        <v>21</v>
      </c>
    </row>
    <row customHeight="1" ht="11.549999999999999">
      <c r="A52" s="1363" t="s">
        <v>205</v>
      </c>
      <c r="B52" s="1363"/>
      <c r="C52" s="1363"/>
      <c r="D52" s="1363"/>
      <c r="E52" s="2278"/>
      <c r="F52" s="2278"/>
      <c r="G52" s="2278"/>
      <c r="H52" s="2278"/>
      <c r="I52" s="2305"/>
      <c r="J52" s="2305"/>
      <c r="K52" s="2275"/>
      <c r="L52" s="1364"/>
      <c r="P52" s="2276"/>
      <c r="Q52" s="2276"/>
      <c r="R52" s="357"/>
      <c r="S52" s="2361"/>
      <c r="T52" s="2364"/>
      <c r="U52" s="300"/>
      <c r="V52" s="1393"/>
      <c r="W52" s="1496"/>
      <c r="X52" s="1393"/>
      <c r="Y52" s="1393"/>
      <c r="Z52" s="1393"/>
      <c r="AA52" s="1393"/>
      <c r="AB52" s="2126"/>
      <c r="AC52" s="2345"/>
      <c r="AD52" s="2224"/>
      <c r="AE52" s="2367"/>
      <c r="AF52" s="2126"/>
      <c r="AG52" s="2345"/>
      <c r="AH52" s="2224"/>
      <c r="AI52" s="2367"/>
      <c r="AJ52" s="2126"/>
      <c r="AK52" s="316"/>
      <c r="AL52" s="416"/>
      <c r="AM52" s="415" t="s">
        <v>466</v>
      </c>
      <c r="AN52" s="1393"/>
      <c r="AO52" s="1496"/>
      <c r="AP52" s="1393"/>
      <c r="AQ52" s="1393"/>
      <c r="AR52" s="1393"/>
      <c r="AS52" s="1393"/>
      <c r="AT52" s="1390"/>
      <c r="AU52" s="2273"/>
      <c r="AW52" s="500"/>
      <c r="AX52" s="500"/>
      <c r="AY52" s="500"/>
      <c r="AZ52" s="500"/>
      <c r="BA52" s="1155">
        <v>11</v>
      </c>
    </row>
    <row customHeight="1" ht="11.549999999999999">
      <c r="A53" s="1363" t="s">
        <v>205</v>
      </c>
      <c r="B53" s="1363"/>
      <c r="C53" s="1363"/>
      <c r="D53" s="1363"/>
      <c r="E53" s="2278"/>
      <c r="F53" s="2278"/>
      <c r="G53" s="2278"/>
      <c r="H53" s="2278"/>
      <c r="I53" s="2305"/>
      <c r="J53" s="2305"/>
      <c r="K53" s="2275"/>
      <c r="L53" s="1364"/>
      <c r="P53" s="2276"/>
      <c r="Q53" s="2276"/>
      <c r="R53" s="357"/>
      <c r="S53" s="2361"/>
      <c r="T53" s="2364"/>
      <c r="U53" s="300"/>
      <c r="V53" s="1393"/>
      <c r="W53" s="1496"/>
      <c r="X53" s="1393"/>
      <c r="Y53" s="1393"/>
      <c r="Z53" s="1393"/>
      <c r="AA53" s="1393"/>
      <c r="AB53" s="2126"/>
      <c r="AC53" s="2345"/>
      <c r="AD53" s="2224"/>
      <c r="AE53" s="2367"/>
      <c r="AF53" s="2126"/>
      <c r="AG53" s="294"/>
      <c r="AH53" s="415"/>
      <c r="AI53" s="415" t="s">
        <v>467</v>
      </c>
      <c r="AJ53" s="1393"/>
      <c r="AK53" s="1393"/>
      <c r="AL53" s="1393"/>
      <c r="AM53" s="1393"/>
      <c r="AN53" s="1393"/>
      <c r="AO53" s="1496"/>
      <c r="AP53" s="1393"/>
      <c r="AQ53" s="1393"/>
      <c r="AR53" s="1393"/>
      <c r="AS53" s="1393"/>
      <c r="AT53" s="1390"/>
      <c r="AU53" s="2273"/>
      <c r="AW53" s="500"/>
      <c r="AX53" s="500"/>
      <c r="AY53" s="500"/>
      <c r="AZ53" s="500"/>
      <c r="BA53" s="1155">
        <v>11</v>
      </c>
    </row>
    <row customHeight="1" ht="11.549999999999999">
      <c r="A54" s="1363" t="s">
        <v>205</v>
      </c>
      <c r="B54" s="1363" t="s">
        <v>206</v>
      </c>
      <c r="C54" s="1363" t="s">
        <v>207</v>
      </c>
      <c r="D54" s="1363" t="s">
        <v>208</v>
      </c>
      <c r="E54" s="2278"/>
      <c r="F54" s="2278"/>
      <c r="G54" s="2278"/>
      <c r="H54" s="2278"/>
      <c r="I54" s="2305"/>
      <c r="J54" s="2305"/>
      <c r="K54" s="2275"/>
      <c r="L54" s="1364"/>
      <c r="P54" s="2276"/>
      <c r="Q54" s="2276"/>
      <c r="R54" s="357"/>
      <c r="S54" s="2362"/>
      <c r="T54" s="2365"/>
      <c r="U54" s="300"/>
      <c r="V54" s="1393"/>
      <c r="W54" s="1394" t="str">
        <f>X51&amp;"-"&amp;Z51</f>
        <v>-</v>
      </c>
      <c r="X54" s="1393"/>
      <c r="Y54" s="1393"/>
      <c r="Z54" s="1393"/>
      <c r="AA54" s="1393"/>
      <c r="AB54" s="2126"/>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73"/>
      <c r="AW54" s="500"/>
      <c r="AX54" s="500" t="str">
        <f>IF(T54="","",T54)</f>
        <v/>
      </c>
      <c r="AY54" s="500"/>
      <c r="AZ54" s="500"/>
      <c r="BA54" s="1155">
        <v>11</v>
      </c>
    </row>
    <row customHeight="1" ht="11.549999999999999">
      <c r="A55" s="1363" t="s">
        <v>205</v>
      </c>
      <c r="B55" s="1363" t="s">
        <v>206</v>
      </c>
      <c r="C55" s="1363" t="s">
        <v>207</v>
      </c>
      <c r="D55" s="1363" t="s">
        <v>208</v>
      </c>
      <c r="E55" s="2278"/>
      <c r="F55" s="2278"/>
      <c r="G55" s="2278"/>
      <c r="H55" s="2278"/>
      <c r="I55" s="2305"/>
      <c r="J55" s="2275"/>
      <c r="K55" s="1363"/>
      <c r="L55" s="1364"/>
      <c r="P55" s="2276"/>
      <c r="Q55" s="2276"/>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74"/>
      <c r="AW55" s="500"/>
      <c r="AX55" s="500" t="str">
        <f>IF(T55="","",T55)</f>
        <v>Добавить строку</v>
      </c>
      <c r="AY55" s="500"/>
      <c r="AZ55" s="500"/>
      <c r="BA55" s="1155">
        <v>11</v>
      </c>
    </row>
    <row s="1642" customFormat="1" customHeight="1" ht="1.05">
      <c r="A56" s="1343" t="s">
        <v>205</v>
      </c>
      <c r="B56" s="1343" t="s">
        <v>206</v>
      </c>
      <c r="C56" s="1343" t="s">
        <v>207</v>
      </c>
      <c r="D56" s="1343" t="s">
        <v>208</v>
      </c>
      <c r="E56" s="2278"/>
      <c r="F56" s="2278"/>
      <c r="G56" s="2278"/>
      <c r="H56" s="2278"/>
      <c r="I56" s="2275"/>
      <c r="J56" s="1343"/>
      <c r="K56" s="1343"/>
      <c r="L56" s="1346"/>
      <c r="M56" s="510"/>
      <c r="N56" s="510"/>
      <c r="O56" s="510"/>
      <c r="P56" s="2276"/>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205</v>
      </c>
      <c r="B57" s="1343" t="s">
        <v>206</v>
      </c>
      <c r="C57" s="1343" t="s">
        <v>207</v>
      </c>
      <c r="D57" s="1343" t="s">
        <v>208</v>
      </c>
      <c r="E57" s="2278"/>
      <c r="F57" s="2278"/>
      <c r="G57" s="2278"/>
      <c r="H57" s="2277"/>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205</v>
      </c>
      <c r="B58" s="1343" t="s">
        <v>206</v>
      </c>
      <c r="C58" s="1343" t="s">
        <v>207</v>
      </c>
      <c r="D58" s="1314"/>
      <c r="E58" s="2278"/>
      <c r="F58" s="2278"/>
      <c r="G58" s="2277"/>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205</v>
      </c>
      <c r="B59" s="1343" t="s">
        <v>206</v>
      </c>
      <c r="C59" s="1314"/>
      <c r="D59" s="1314"/>
      <c r="E59" s="2278"/>
      <c r="F59" s="2277"/>
      <c r="G59" s="1314"/>
      <c r="H59" s="1314"/>
      <c r="I59" s="1314"/>
      <c r="J59" s="1314"/>
      <c r="K59" s="1314"/>
      <c r="L59" s="1339"/>
      <c r="M59" s="1321"/>
      <c r="N59" s="1321"/>
      <c r="P59" s="1316"/>
      <c r="Q59" s="1317"/>
      <c r="R59" s="1316"/>
      <c r="S59" s="1322"/>
      <c r="T59" s="1325" t="s">
        <v>420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205</v>
      </c>
      <c r="B60" s="1343"/>
      <c r="C60" s="1343"/>
      <c r="D60" s="1343"/>
      <c r="E60" s="2278"/>
      <c r="F60" s="1343"/>
      <c r="G60" s="1343"/>
      <c r="H60" s="1343"/>
      <c r="I60" s="1343"/>
      <c r="J60" s="1343"/>
      <c r="K60" s="1343"/>
      <c r="L60" s="1346"/>
      <c r="M60" s="1321"/>
      <c r="N60" s="1321"/>
      <c r="O60" s="518"/>
      <c r="P60" s="380"/>
      <c r="Q60" s="1344"/>
      <c r="R60" s="380"/>
      <c r="S60" s="1322"/>
      <c r="T60" s="1325" t="s">
        <v>421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205</v>
      </c>
      <c r="B61" s="1343"/>
      <c r="C61" s="1343"/>
      <c r="D61" s="1343"/>
      <c r="E61" s="2277"/>
      <c r="F61" s="1343"/>
      <c r="G61" s="1343"/>
      <c r="H61" s="1343"/>
      <c r="I61" s="1343"/>
      <c r="J61" s="1343"/>
      <c r="K61" s="1343"/>
      <c r="L61" s="1346"/>
      <c r="M61" s="1321"/>
      <c r="N61" s="1321"/>
      <c r="O61" s="518"/>
      <c r="P61" s="380"/>
      <c r="Q61" s="1344"/>
      <c r="R61" s="380"/>
      <c r="S61" s="1322"/>
      <c r="T61" s="1325" t="s">
        <v>421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55">
        <v>19</v>
      </c>
    </row>
    <row customHeight="1" ht="21">
      <c r="O65" s="537"/>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55">
        <v>19</v>
      </c>
    </row>
    <row customHeight="1" ht="16.8">
      <c r="O68" s="537"/>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84198-CC3A-216E-29B8-6260B5038DD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44" width="10.140625" hidden="1" customWidth="1"/>
    <col min="13" max="15" style="2416" width="10.14062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08">
        <v>1</v>
      </c>
      <c r="F2" s="1267"/>
      <c r="G2" s="1267"/>
      <c r="H2" s="1267"/>
      <c r="I2" s="1267"/>
      <c r="J2" s="1267"/>
      <c r="K2" s="1267"/>
      <c r="L2" s="1310"/>
      <c r="M2" s="1610"/>
      <c r="N2" s="1610"/>
      <c r="O2" s="1610"/>
      <c r="P2" s="1409"/>
      <c r="Q2" s="873"/>
      <c r="R2" s="355"/>
      <c r="S2" s="1955">
        <f>INDEX(PT_DIFFERENTIATION_NUM_NTAR,MATCH(A2,PT_DIFFERENTIATION_NTAR_ID,0))</f>
      </c>
      <c r="T2" s="1525" t="s">
        <v>130</v>
      </c>
      <c r="U2" s="300"/>
      <c r="V2" s="2262"/>
      <c r="W2" s="2262"/>
      <c r="X2" s="2262"/>
      <c r="Y2" s="2262"/>
      <c r="Z2" s="2262"/>
      <c r="AA2" s="2263"/>
      <c r="AB2" s="1949"/>
      <c r="AC2" s="2262">
        <f>INDEX(PT_DIFFERENTIATION_NTAR,MATCH(A2,PT_DIFFERENTIATION_NTAR_ID,0))</f>
      </c>
      <c r="AD2" s="2262"/>
      <c r="AE2" s="2262"/>
      <c r="AF2" s="2262"/>
      <c r="AG2" s="2262"/>
      <c r="AH2" s="2262"/>
      <c r="AI2" s="2262"/>
      <c r="AJ2" s="2263"/>
      <c r="AK2" s="1258" t="s">
        <v>401</v>
      </c>
      <c r="AM2" s="1624"/>
      <c r="AN2" s="1624" t="str">
        <f>IF(T2="","",T2)</f>
        <v>Наименование тарифа</v>
      </c>
      <c r="AO2" s="1624"/>
      <c r="AP2" s="1624"/>
      <c r="AQ2" s="1631">
        <v>0</v>
      </c>
    </row>
    <row customHeight="1" ht="21" hidden="1">
      <c r="A3" s="1267"/>
      <c r="B3" s="1267"/>
      <c r="C3" s="1267"/>
      <c r="D3" s="1267"/>
      <c r="E3" s="2309"/>
      <c r="F3" s="2308">
        <v>1</v>
      </c>
      <c r="G3" s="1267"/>
      <c r="H3" s="1267"/>
      <c r="I3" s="1267"/>
      <c r="J3" s="1267"/>
      <c r="K3" s="1267"/>
      <c r="L3" s="1310"/>
      <c r="M3" s="1610"/>
      <c r="N3" s="1610"/>
      <c r="O3" s="1610"/>
      <c r="P3" s="1966"/>
      <c r="Q3" s="1411"/>
      <c r="R3" s="353"/>
      <c r="S3" s="1955">
        <f>INDEX(PT_DIFFERENTIATION_NUM_TER,MATCH(B3,PT_DIFFERENTIATION_TER_ID,0))</f>
      </c>
      <c r="T3" s="1522" t="s">
        <v>402</v>
      </c>
      <c r="U3" s="300"/>
      <c r="V3" s="2262"/>
      <c r="W3" s="2262"/>
      <c r="X3" s="2262"/>
      <c r="Y3" s="2262"/>
      <c r="Z3" s="2262"/>
      <c r="AA3" s="2263"/>
      <c r="AB3" s="1949"/>
      <c r="AC3" s="2262">
        <f>INDEX(PT_DIFFERENTIATION_TER,MATCH(B3,PT_DIFFERENTIATION_TER_ID,0))</f>
      </c>
      <c r="AD3" s="2262"/>
      <c r="AE3" s="2262"/>
      <c r="AF3" s="2262"/>
      <c r="AG3" s="2262"/>
      <c r="AH3" s="2262"/>
      <c r="AI3" s="2262"/>
      <c r="AJ3" s="2263"/>
      <c r="AK3" s="1258" t="s">
        <v>403</v>
      </c>
      <c r="AM3" s="1624"/>
      <c r="AN3" s="1624" t="str">
        <f>IF(T3="","",T3)</f>
        <v>Территория действия тарифа</v>
      </c>
      <c r="AO3" s="1624"/>
      <c r="AP3" s="1624"/>
      <c r="AQ3" s="1631">
        <v>0</v>
      </c>
    </row>
    <row customHeight="1" ht="22.5" hidden="1">
      <c r="A4" s="1267"/>
      <c r="B4" s="1267"/>
      <c r="C4" s="1267"/>
      <c r="D4" s="1267"/>
      <c r="E4" s="2309"/>
      <c r="F4" s="2309"/>
      <c r="G4" s="2308">
        <v>1</v>
      </c>
      <c r="H4" s="1267"/>
      <c r="I4" s="1267"/>
      <c r="J4" s="1267"/>
      <c r="K4" s="1267"/>
      <c r="L4" s="1310"/>
      <c r="M4" s="1610"/>
      <c r="N4" s="1610"/>
      <c r="O4" s="1610"/>
      <c r="P4" s="1412"/>
      <c r="Q4" s="1411"/>
      <c r="R4" s="353"/>
      <c r="S4" s="1955">
        <f>INDEX(PT_DIFFERENTIATION_NUM_CS,MATCH(C4,PT_DIFFERENTIATION_CS_ID,0))</f>
      </c>
      <c r="T4" s="309" t="s">
        <v>404</v>
      </c>
      <c r="U4" s="300"/>
      <c r="V4" s="2262"/>
      <c r="W4" s="2262"/>
      <c r="X4" s="2262"/>
      <c r="Y4" s="2262"/>
      <c r="Z4" s="2262"/>
      <c r="AA4" s="2263"/>
      <c r="AB4" s="1949"/>
      <c r="AC4" s="2262">
        <f>INDEX(PT_DIFFERENTIATION_CS,MATCH(C4,PT_DIFFERENTIATION_CS_ID,0))</f>
      </c>
      <c r="AD4" s="2262"/>
      <c r="AE4" s="2262"/>
      <c r="AF4" s="2262"/>
      <c r="AG4" s="2262"/>
      <c r="AH4" s="2262"/>
      <c r="AI4" s="2262"/>
      <c r="AJ4" s="2263"/>
      <c r="AK4" s="1258" t="s">
        <v>405</v>
      </c>
      <c r="AM4" s="1624"/>
      <c r="AN4" s="1624" t="str">
        <f>IF(T4="","",T4)</f>
        <v>Наименование системы теплоснабжения </v>
      </c>
      <c r="AO4" s="1624"/>
      <c r="AP4" s="1624"/>
      <c r="AQ4" s="1631">
        <v>0</v>
      </c>
    </row>
    <row customHeight="1" ht="21" hidden="1">
      <c r="A5" s="1267"/>
      <c r="B5" s="1267"/>
      <c r="C5" s="1267"/>
      <c r="D5" s="1267"/>
      <c r="E5" s="2309"/>
      <c r="F5" s="2309"/>
      <c r="G5" s="2309"/>
      <c r="H5" s="2308">
        <v>1</v>
      </c>
      <c r="I5" s="1267"/>
      <c r="J5" s="1267"/>
      <c r="K5" s="1267"/>
      <c r="L5" s="1310"/>
      <c r="M5" s="1610"/>
      <c r="N5" s="1610"/>
      <c r="O5" s="1610"/>
      <c r="P5" s="1412"/>
      <c r="Q5" s="1411"/>
      <c r="R5" s="353"/>
      <c r="S5" s="1955">
        <f>INDEX(PT_DIFFERENTIATION_NUM_IST_TE,MATCH(D5,PT_DIFFERENTIATION_IST_TE_ID,0))</f>
      </c>
      <c r="T5" s="310" t="s">
        <v>406</v>
      </c>
      <c r="U5" s="300"/>
      <c r="V5" s="2262"/>
      <c r="W5" s="2262"/>
      <c r="X5" s="2262"/>
      <c r="Y5" s="2262"/>
      <c r="Z5" s="2262"/>
      <c r="AA5" s="2263"/>
      <c r="AB5" s="1949"/>
      <c r="AC5" s="2262">
        <f>INDEX(PT_DIFFERENTIATION_IST_TE,MATCH(D5,PT_DIFFERENTIATION_IST_TE_ID,0))</f>
      </c>
      <c r="AD5" s="2262"/>
      <c r="AE5" s="2262"/>
      <c r="AF5" s="2262"/>
      <c r="AG5" s="2262"/>
      <c r="AH5" s="2262"/>
      <c r="AI5" s="2262"/>
      <c r="AJ5" s="2263"/>
      <c r="AK5" s="1258" t="s">
        <v>407</v>
      </c>
      <c r="AM5" s="1624"/>
      <c r="AN5" s="1624" t="str">
        <f>IF(T5="","",T5)</f>
        <v>Источник тепловой энергии  </v>
      </c>
      <c r="AO5" s="1624"/>
      <c r="AP5" s="1624"/>
      <c r="AQ5" s="1631">
        <v>0</v>
      </c>
    </row>
    <row s="1642" customFormat="1" customHeight="1" ht="0.75" hidden="1">
      <c r="A6" s="1375"/>
      <c r="B6" s="1375"/>
      <c r="C6" s="1375"/>
      <c r="D6" s="1375"/>
      <c r="E6" s="2309"/>
      <c r="F6" s="2309"/>
      <c r="G6" s="2309"/>
      <c r="H6" s="2309"/>
      <c r="I6" s="2146">
        <f>S5&amp;".1"</f>
      </c>
      <c r="J6" s="1375"/>
      <c r="K6" s="1375"/>
      <c r="L6" s="1381" t="s">
        <v>408</v>
      </c>
      <c r="M6" s="1246"/>
      <c r="N6" s="1246"/>
      <c r="O6" s="1246"/>
      <c r="P6" s="2276">
        <v>1</v>
      </c>
      <c r="Q6" s="1951"/>
      <c r="R6" s="356"/>
      <c r="S6" s="1042"/>
      <c r="T6" s="1383"/>
      <c r="U6" s="1384"/>
      <c r="V6" s="2316"/>
      <c r="W6" s="2316"/>
      <c r="X6" s="2316"/>
      <c r="Y6" s="2316"/>
      <c r="Z6" s="2316"/>
      <c r="AA6" s="2317"/>
      <c r="AB6" s="1957"/>
      <c r="AC6" s="2316"/>
      <c r="AD6" s="2316"/>
      <c r="AE6" s="2316"/>
      <c r="AF6" s="2316"/>
      <c r="AG6" s="2316"/>
      <c r="AH6" s="2316"/>
      <c r="AI6" s="2316"/>
      <c r="AJ6" s="2317"/>
      <c r="AK6" s="1385"/>
      <c r="AM6" s="1624"/>
      <c r="AN6" s="1624" t="str">
        <f>IF(T6="","",T6)</f>
        <v/>
      </c>
      <c r="AO6" s="1624"/>
      <c r="AP6" s="1624"/>
      <c r="AQ6" s="1636">
        <v>0</v>
      </c>
    </row>
    <row s="1642" customFormat="1" customHeight="1" ht="0.75" hidden="1">
      <c r="A7" s="1375"/>
      <c r="B7" s="1375"/>
      <c r="C7" s="1375"/>
      <c r="D7" s="1375"/>
      <c r="E7" s="2309"/>
      <c r="F7" s="2309"/>
      <c r="G7" s="2309"/>
      <c r="H7" s="2309"/>
      <c r="I7" s="2120"/>
      <c r="J7" s="2146">
        <f>S5&amp;".1"</f>
      </c>
      <c r="K7" s="1375"/>
      <c r="L7" s="1381"/>
      <c r="M7" s="1246"/>
      <c r="N7" s="1246"/>
      <c r="O7" s="1246"/>
      <c r="P7" s="2276"/>
      <c r="Q7" s="2276">
        <v>1</v>
      </c>
      <c r="R7" s="357"/>
      <c r="S7" s="1042"/>
      <c r="T7" s="1399"/>
      <c r="U7" s="1384"/>
      <c r="V7" s="2316"/>
      <c r="W7" s="2316"/>
      <c r="X7" s="2316"/>
      <c r="Y7" s="2316"/>
      <c r="Z7" s="2316"/>
      <c r="AA7" s="2317"/>
      <c r="AB7" s="1957"/>
      <c r="AC7" s="2316"/>
      <c r="AD7" s="2316"/>
      <c r="AE7" s="2316"/>
      <c r="AF7" s="2316"/>
      <c r="AG7" s="2316"/>
      <c r="AH7" s="2316"/>
      <c r="AI7" s="2316"/>
      <c r="AJ7" s="2317"/>
      <c r="AK7" s="1385"/>
      <c r="AM7" s="1624"/>
      <c r="AN7" s="1624" t="str">
        <f>IF(T7="","",T7)</f>
        <v/>
      </c>
      <c r="AO7" s="1624"/>
      <c r="AP7" s="1624"/>
      <c r="AQ7" s="1636">
        <v>0</v>
      </c>
    </row>
    <row customHeight="1" ht="21" hidden="1">
      <c r="A8" s="1267"/>
      <c r="B8" s="1267"/>
      <c r="C8" s="1267"/>
      <c r="D8" s="1267"/>
      <c r="E8" s="2309"/>
      <c r="F8" s="2309"/>
      <c r="G8" s="2309"/>
      <c r="H8" s="2309"/>
      <c r="I8" s="2120"/>
      <c r="J8" s="2120"/>
      <c r="K8" s="1988">
        <f>S5&amp;".1"</f>
      </c>
      <c r="L8" s="1310"/>
      <c r="P8" s="2276"/>
      <c r="Q8" s="2276"/>
      <c r="R8" s="1992">
        <v>1</v>
      </c>
      <c r="S8" s="1990">
        <f>$K8</f>
      </c>
      <c r="T8" s="1991"/>
      <c r="U8" s="300"/>
      <c r="V8" s="751"/>
      <c r="W8" s="1257"/>
      <c r="X8" s="1989"/>
      <c r="Y8" s="1987" t="s">
        <v>66</v>
      </c>
      <c r="Z8" s="1989"/>
      <c r="AA8" s="1987" t="s">
        <v>66</v>
      </c>
      <c r="AB8" s="1993"/>
      <c r="AC8" s="1994" t="s">
        <v>22</v>
      </c>
      <c r="AD8" s="751"/>
      <c r="AE8" s="1257"/>
      <c r="AF8" s="1952"/>
      <c r="AG8" s="1939" t="s">
        <v>66</v>
      </c>
      <c r="AH8" s="1952"/>
      <c r="AI8" s="1939" t="s">
        <v>66</v>
      </c>
      <c r="AJ8" s="1348"/>
      <c r="AK8" s="2272" t="s">
        <v>465</v>
      </c>
      <c r="AL8" s="1636">
        <f>STRCHECKDATE(#REF!)</f>
      </c>
      <c r="AM8" s="1624"/>
      <c r="AN8" s="1624" t="str">
        <f>IF(T8="","",T8)</f>
        <v/>
      </c>
      <c r="AO8" s="1624"/>
      <c r="AP8" s="1624"/>
      <c r="AQ8" s="1631">
        <v>0</v>
      </c>
    </row>
    <row customHeight="1" ht="11.25" hidden="1">
      <c r="A9" s="1267"/>
      <c r="B9" s="1267"/>
      <c r="C9" s="1267"/>
      <c r="D9" s="1267"/>
      <c r="E9" s="2309"/>
      <c r="F9" s="2309"/>
      <c r="G9" s="2309"/>
      <c r="H9" s="2309"/>
      <c r="I9" s="2120"/>
      <c r="J9" s="2146"/>
      <c r="K9" s="1267"/>
      <c r="L9" s="1310"/>
      <c r="P9" s="2276"/>
      <c r="Q9" s="2276"/>
      <c r="R9" s="356"/>
      <c r="S9" s="1278"/>
      <c r="T9" s="287" t="s">
        <v>469</v>
      </c>
      <c r="U9" s="600"/>
      <c r="V9" s="600"/>
      <c r="W9" s="600"/>
      <c r="X9" s="600"/>
      <c r="Y9" s="600"/>
      <c r="Z9" s="600"/>
      <c r="AA9" s="600"/>
      <c r="AB9" s="600"/>
      <c r="AC9" s="600"/>
      <c r="AD9" s="600"/>
      <c r="AE9" s="600"/>
      <c r="AF9" s="600"/>
      <c r="AG9" s="600"/>
      <c r="AH9" s="600"/>
      <c r="AI9" s="600"/>
      <c r="AJ9" s="324"/>
      <c r="AK9" s="2274"/>
      <c r="AM9" s="1624"/>
      <c r="AN9" s="1624" t="str">
        <f>IF(T9="","",T9)</f>
        <v>Добавить строку</v>
      </c>
      <c r="AO9" s="1624"/>
      <c r="AP9" s="1624"/>
      <c r="AQ9" s="1631">
        <v>0</v>
      </c>
    </row>
    <row s="1642" customFormat="1" customHeight="1" ht="0.75" hidden="1">
      <c r="A10" s="1375"/>
      <c r="B10" s="1375"/>
      <c r="C10" s="1375"/>
      <c r="D10" s="1375"/>
      <c r="E10" s="2309"/>
      <c r="F10" s="2309"/>
      <c r="G10" s="2309"/>
      <c r="H10" s="2309"/>
      <c r="I10" s="2146"/>
      <c r="J10" s="1375"/>
      <c r="K10" s="1375"/>
      <c r="L10" s="1381"/>
      <c r="M10" s="1246"/>
      <c r="N10" s="1246"/>
      <c r="O10" s="1246"/>
      <c r="P10" s="2276"/>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09"/>
      <c r="F11" s="2309"/>
      <c r="G11" s="2309"/>
      <c r="H11" s="2308"/>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09"/>
      <c r="F12" s="2309"/>
      <c r="G12" s="2308"/>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09"/>
      <c r="F13" s="2308"/>
      <c r="G13" s="1374"/>
      <c r="H13" s="1374"/>
      <c r="I13" s="1374"/>
      <c r="J13" s="1374"/>
      <c r="K13" s="1374"/>
      <c r="L13" s="1377"/>
      <c r="M13" s="1379"/>
      <c r="N13" s="1379"/>
      <c r="O13" s="351"/>
      <c r="P13" s="1316"/>
      <c r="Q13" s="1317"/>
      <c r="R13" s="1316"/>
      <c r="S13" s="1322"/>
      <c r="T13" s="1325" t="s">
        <v>420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08"/>
      <c r="F14" s="1375"/>
      <c r="G14" s="1375"/>
      <c r="H14" s="1375"/>
      <c r="I14" s="1375"/>
      <c r="J14" s="1375"/>
      <c r="K14" s="1375"/>
      <c r="L14" s="1381"/>
      <c r="M14" s="1379"/>
      <c r="N14" s="1379"/>
      <c r="O14" s="351"/>
      <c r="P14" s="380"/>
      <c r="Q14" s="1344"/>
      <c r="R14" s="380"/>
      <c r="S14" s="1322"/>
      <c r="T14" s="1325" t="s">
        <v>421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66</v>
      </c>
      <c r="AH16" s="1735"/>
      <c r="AI16" s="1963" t="s">
        <v>66</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423</v>
      </c>
      <c r="P20" s="1508"/>
      <c r="Q20" s="1510"/>
      <c r="R20" s="1510"/>
      <c r="Y20" s="1507" t="s">
        <v>425</v>
      </c>
      <c r="AA20" s="1507" t="s">
        <v>426</v>
      </c>
      <c r="AC20" s="1507" t="s">
        <v>471</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3"/>
      <c r="AQ24" s="1631">
        <v>38</v>
      </c>
    </row>
    <row customHeight="1" ht="14.699999999999998">
      <c r="Q25" s="291"/>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62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0"/>
      <c r="U27" s="1372"/>
      <c r="V27" s="2270" t="str">
        <f>IF(TITLE_NAME_OR_PR_CHANGE="",IF(TITLE_NAME_OR_PR="","",TITLE_NAME_OR_PR),TITLE_NAME_OR_PR_CHANGE)</f>
        <v/>
      </c>
      <c r="W27" s="2270"/>
      <c r="X27" s="2270"/>
      <c r="Y27" s="2270"/>
      <c r="Z27" s="2270"/>
      <c r="AA27" s="1635"/>
      <c r="AB27" s="1635"/>
      <c r="AC27" s="2270"/>
      <c r="AD27" s="2270"/>
      <c r="AE27" s="2270"/>
      <c r="AF27" s="2270"/>
      <c r="AG27" s="2270"/>
      <c r="AH27" s="2270"/>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629" t="str">
        <f>"Дата документа об "&amp;IF(TITLE_DATE_PR_CHANGE="","утверждении","изменении")&amp;" тарифов"</f>
        <v>Дата документа об утверждении тарифов</v>
      </c>
      <c r="T28" s="2630"/>
      <c r="U28" s="1372"/>
      <c r="V28" s="2283" t="str">
        <f>IF(TITLE_DATE_PR_CHANGE="",IF(TITLE_DATE_PR="","",TITLE_DATE_PR),TITLE_DATE_PR_CHANGE)</f>
        <v/>
      </c>
      <c r="W28" s="2283"/>
      <c r="X28" s="2283"/>
      <c r="Y28" s="2283"/>
      <c r="Z28" s="2283"/>
      <c r="AA28" s="1635"/>
      <c r="AB28" s="1635"/>
      <c r="AC28" s="2283"/>
      <c r="AD28" s="2283"/>
      <c r="AE28" s="2283"/>
      <c r="AF28" s="2283"/>
      <c r="AG28" s="2283"/>
      <c r="AH28" s="2283"/>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629" t="str">
        <f>"Номер документа об "&amp;IF(TITLE_DATE_PR_CHANGE="","утверждении","изменении")&amp;" тарифов"</f>
        <v>Номер документа об утверждении тарифов</v>
      </c>
      <c r="T29" s="2630"/>
      <c r="U29" s="1372"/>
      <c r="V29" s="2270" t="str">
        <f>IF(TITLE_NUMBER_PR_CHANGE="",IF(TITLE_NUMBER_PR="","",TITLE_NUMBER_PR),TITLE_NUMBER_PR_CHANGE)</f>
        <v/>
      </c>
      <c r="W29" s="2270"/>
      <c r="X29" s="2270"/>
      <c r="Y29" s="2270"/>
      <c r="Z29" s="2270"/>
      <c r="AA29" s="1635"/>
      <c r="AB29" s="1635"/>
      <c r="AC29" s="2270"/>
      <c r="AD29" s="2270"/>
      <c r="AE29" s="2270"/>
      <c r="AF29" s="2270"/>
      <c r="AG29" s="2270"/>
      <c r="AH29" s="2270"/>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629" t="s">
        <v>43</v>
      </c>
      <c r="T30" s="2630"/>
      <c r="U30" s="1372"/>
      <c r="V30" s="2270" t="str">
        <f>IF(TITLE_IST_PUB_CHANGE="",IF(TITLE_IST_PUB="","",TITLE_IST_PUB),TITLE_IST_PUB_CHANGE)</f>
        <v/>
      </c>
      <c r="W30" s="2270"/>
      <c r="X30" s="2270"/>
      <c r="Y30" s="2270"/>
      <c r="Z30" s="2270"/>
      <c r="AA30" s="1635"/>
      <c r="AB30" s="1635"/>
      <c r="AC30" s="2270"/>
      <c r="AD30" s="2270"/>
      <c r="AE30" s="2270"/>
      <c r="AF30" s="2270"/>
      <c r="AG30" s="2270"/>
      <c r="AH30" s="2270"/>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629" t="str">
        <f>"Дата подачи заявления об "&amp;IF(TITLE_DATE_PR_CHANGE="","утверждении","изменении")&amp;" тарифов"</f>
        <v>Дата подачи заявления об утверждении тарифов</v>
      </c>
      <c r="T32" s="2630"/>
      <c r="U32" s="1372"/>
      <c r="V32" s="2283" t="str">
        <f>IF(TITLE_DATE_PR_CHANGE="",IF(TITLE_DATE_PR="","",TITLE_DATE_PR),TITLE_DATE_PR_CHANGE)</f>
        <v/>
      </c>
      <c r="W32" s="2283"/>
      <c r="X32" s="2283"/>
      <c r="Y32" s="2283"/>
      <c r="Z32" s="2283"/>
      <c r="AA32" s="1635"/>
      <c r="AB32" s="1635"/>
      <c r="AC32" s="2283"/>
      <c r="AD32" s="2283"/>
      <c r="AE32" s="2283"/>
      <c r="AF32" s="2283"/>
      <c r="AG32" s="2283"/>
      <c r="AH32" s="2283"/>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629" t="str">
        <f>"Номер подачи заявления об "&amp;IF(TITLE_DATE_PR_CHANGE="","утверждении","изменении")&amp;" тарифов"</f>
        <v>Номер подачи заявления об утверждении тарифов</v>
      </c>
      <c r="T33" s="2630"/>
      <c r="U33" s="1372"/>
      <c r="V33" s="2270" t="str">
        <f>IF(TITLE_NUMBER_PR_CHANGE="",IF(TITLE_NUMBER_PR="","",TITLE_NUMBER_PR),TITLE_NUMBER_PR_CHANGE)</f>
        <v/>
      </c>
      <c r="W33" s="2270"/>
      <c r="X33" s="2270"/>
      <c r="Y33" s="2270"/>
      <c r="Z33" s="2270"/>
      <c r="AA33" s="1635"/>
      <c r="AB33" s="1635"/>
      <c r="AC33" s="2270"/>
      <c r="AD33" s="2270"/>
      <c r="AE33" s="2270"/>
      <c r="AF33" s="2270"/>
      <c r="AG33" s="2270"/>
      <c r="AH33" s="2270"/>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71"/>
      <c r="W35" s="2271"/>
      <c r="X35" s="2271"/>
      <c r="Y35" s="2271"/>
      <c r="Z35" s="2271"/>
      <c r="AA35" s="2271"/>
      <c r="AB35" s="1954"/>
      <c r="AC35" s="2271"/>
      <c r="AD35" s="2271"/>
      <c r="AE35" s="2271"/>
      <c r="AF35" s="2271"/>
      <c r="AG35" s="2271"/>
      <c r="AH35" s="2271"/>
      <c r="AI35" s="2271"/>
      <c r="AQ35" s="1631">
        <v>14</v>
      </c>
    </row>
    <row customHeight="1" ht="14.699999999999998">
      <c r="Q36" s="291"/>
      <c r="R36" s="376"/>
      <c r="S36" s="2146" t="s">
        <v>305</v>
      </c>
      <c r="T36" s="2146"/>
      <c r="U36" s="2146"/>
      <c r="V36" s="2146"/>
      <c r="W36" s="2146"/>
      <c r="X36" s="2146"/>
      <c r="Y36" s="2146"/>
      <c r="Z36" s="2146"/>
      <c r="AA36" s="2194"/>
      <c r="AB36" s="2194"/>
      <c r="AC36" s="2194"/>
      <c r="AD36" s="2146"/>
      <c r="AE36" s="2146"/>
      <c r="AF36" s="2146"/>
      <c r="AG36" s="2146"/>
      <c r="AH36" s="2146"/>
      <c r="AI36" s="2146"/>
      <c r="AJ36" s="2146"/>
      <c r="AK36" s="2146" t="s">
        <v>306</v>
      </c>
      <c r="AQ36" s="1631">
        <v>14</v>
      </c>
    </row>
    <row customHeight="1" ht="14.699999999999998">
      <c r="Q37" s="291"/>
      <c r="R37" s="376"/>
      <c r="S37" s="2292" t="s">
        <v>89</v>
      </c>
      <c r="T37" s="2228" t="s">
        <v>482</v>
      </c>
      <c r="U37" s="337"/>
      <c r="V37" s="2294"/>
      <c r="W37" s="2294"/>
      <c r="X37" s="2294"/>
      <c r="Y37" s="2294"/>
      <c r="Z37" s="2294"/>
      <c r="AA37" s="2228" t="s">
        <v>431</v>
      </c>
      <c r="AB37" s="2227" t="s">
        <v>483</v>
      </c>
      <c r="AC37" s="2227" t="s">
        <v>475</v>
      </c>
      <c r="AD37" s="2310" t="s">
        <v>430</v>
      </c>
      <c r="AE37" s="2310"/>
      <c r="AF37" s="2294"/>
      <c r="AG37" s="2294"/>
      <c r="AH37" s="2295"/>
      <c r="AI37" s="2296" t="s">
        <v>431</v>
      </c>
      <c r="AJ37" s="2299" t="s">
        <v>433</v>
      </c>
      <c r="AK37" s="2146"/>
      <c r="AQ37" s="1631">
        <v>14</v>
      </c>
    </row>
    <row customHeight="1" ht="35.699999999999996">
      <c r="Q38" s="291"/>
      <c r="R38" s="376"/>
      <c r="S38" s="2292"/>
      <c r="T38" s="2228"/>
      <c r="U38" s="1031"/>
      <c r="V38" s="2122" t="s">
        <v>478</v>
      </c>
      <c r="W38" s="2146"/>
      <c r="X38" s="2313" t="s">
        <v>437</v>
      </c>
      <c r="Y38" s="2332"/>
      <c r="Z38" s="2332"/>
      <c r="AA38" s="2228"/>
      <c r="AB38" s="2227"/>
      <c r="AC38" s="2227"/>
      <c r="AD38" s="2122" t="s">
        <v>478</v>
      </c>
      <c r="AE38" s="2146"/>
      <c r="AF38" s="2332" t="s">
        <v>437</v>
      </c>
      <c r="AG38" s="2332"/>
      <c r="AH38" s="2333"/>
      <c r="AI38" s="2297"/>
      <c r="AJ38" s="2300"/>
      <c r="AK38" s="2146"/>
      <c r="AQ38" s="1631">
        <v>34</v>
      </c>
    </row>
    <row customHeight="1" ht="14.699999999999998">
      <c r="Q39" s="291"/>
      <c r="R39" s="376"/>
      <c r="S39" s="2292"/>
      <c r="T39" s="2228"/>
      <c r="U39" s="1031"/>
      <c r="V39" s="2359" t="str">
        <f>IF($AD$39&lt;&gt;"",$AD$39,"")</f>
        <v/>
      </c>
      <c r="W39" s="2359"/>
      <c r="X39" s="2314"/>
      <c r="Y39" s="2334"/>
      <c r="Z39" s="2334"/>
      <c r="AA39" s="2228"/>
      <c r="AB39" s="2227"/>
      <c r="AC39" s="2227"/>
      <c r="AD39" s="2375"/>
      <c r="AE39" s="2358"/>
      <c r="AF39" s="2334"/>
      <c r="AG39" s="2334"/>
      <c r="AH39" s="2335"/>
      <c r="AI39" s="2297"/>
      <c r="AJ39" s="2300"/>
      <c r="AK39" s="2146"/>
      <c r="AQ39" s="1631">
        <v>14</v>
      </c>
    </row>
    <row customHeight="1" ht="14.699999999999998">
      <c r="A40" s="1266"/>
      <c r="B40" s="1266" t="s">
        <v>142</v>
      </c>
      <c r="C40" s="1266" t="s">
        <v>143</v>
      </c>
      <c r="D40" s="1266" t="s">
        <v>144</v>
      </c>
      <c r="E40" s="1310" t="s">
        <v>438</v>
      </c>
      <c r="F40" s="1310" t="s">
        <v>439</v>
      </c>
      <c r="G40" s="1310" t="s">
        <v>440</v>
      </c>
      <c r="H40" s="1310" t="s">
        <v>441</v>
      </c>
      <c r="I40" s="1310" t="s">
        <v>442</v>
      </c>
      <c r="J40" s="1310" t="s">
        <v>443</v>
      </c>
      <c r="K40" s="1310" t="s">
        <v>444</v>
      </c>
      <c r="L40" s="1310" t="s">
        <v>423</v>
      </c>
      <c r="Q40" s="291"/>
      <c r="R40" s="376"/>
      <c r="S40" s="2292"/>
      <c r="T40" s="2228"/>
      <c r="U40" s="302"/>
      <c r="V40" s="1947" t="s">
        <v>479</v>
      </c>
      <c r="W40" s="1947" t="s">
        <v>480</v>
      </c>
      <c r="X40" s="1935" t="s">
        <v>447</v>
      </c>
      <c r="Y40" s="2289" t="s">
        <v>448</v>
      </c>
      <c r="Z40" s="2339"/>
      <c r="AA40" s="2228"/>
      <c r="AB40" s="2227"/>
      <c r="AC40" s="2227"/>
      <c r="AD40" s="1965" t="s">
        <v>479</v>
      </c>
      <c r="AE40" s="1956" t="s">
        <v>480</v>
      </c>
      <c r="AF40" s="1935" t="s">
        <v>447</v>
      </c>
      <c r="AG40" s="2289" t="s">
        <v>448</v>
      </c>
      <c r="AH40" s="2290"/>
      <c r="AI40" s="2298"/>
      <c r="AJ40" s="2301"/>
      <c r="AK40" s="2146"/>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110</v>
      </c>
      <c r="T41" s="1255" t="s">
        <v>111</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211</v>
      </c>
      <c r="B42" s="1267"/>
      <c r="C42" s="1267"/>
      <c r="D42" s="1267"/>
      <c r="E42" s="2308">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130</v>
      </c>
      <c r="U42" s="300"/>
      <c r="V42" s="2262"/>
      <c r="W42" s="2262"/>
      <c r="X42" s="2262"/>
      <c r="Y42" s="2262"/>
      <c r="Z42" s="2262"/>
      <c r="AA42" s="2263"/>
      <c r="AB42" s="1949"/>
      <c r="AC42" s="2262" t="str">
        <f>INDEX(PT_DIFFERENTIATION_NTAR,MATCH(A42,PT_DIFFERENTIATION_NTAR_ID,0))</f>
        <v/>
      </c>
      <c r="AD42" s="2262"/>
      <c r="AE42" s="2262"/>
      <c r="AF42" s="2262"/>
      <c r="AG42" s="2262"/>
      <c r="AH42" s="2262"/>
      <c r="AI42" s="2262"/>
      <c r="AJ42" s="2263"/>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211</v>
      </c>
      <c r="B43" s="1267" t="s">
        <v>212</v>
      </c>
      <c r="C43" s="1267"/>
      <c r="D43" s="1267"/>
      <c r="E43" s="2309"/>
      <c r="F43" s="2308">
        <v>1</v>
      </c>
      <c r="G43" s="1267"/>
      <c r="H43" s="1267"/>
      <c r="I43" s="1267"/>
      <c r="J43" s="1267"/>
      <c r="K43" s="1267"/>
      <c r="L43" s="1310"/>
      <c r="M43" s="1610"/>
      <c r="N43" s="1610"/>
      <c r="O43" s="1610"/>
      <c r="P43" s="1966"/>
      <c r="Q43" s="1411"/>
      <c r="R43" s="353"/>
      <c r="S43" s="1955" t="str">
        <f>INDEX(PT_DIFFERENTIATION_NUM_TER,MATCH(B43,PT_DIFFERENTIATION_TER_ID,0))</f>
        <v>.</v>
      </c>
      <c r="T43" s="1522" t="s">
        <v>402</v>
      </c>
      <c r="U43" s="300"/>
      <c r="V43" s="2262"/>
      <c r="W43" s="2262"/>
      <c r="X43" s="2262"/>
      <c r="Y43" s="2262"/>
      <c r="Z43" s="2262"/>
      <c r="AA43" s="2263"/>
      <c r="AB43" s="1949"/>
      <c r="AC43" s="2262" t="str">
        <f>INDEX(PT_DIFFERENTIATION_TER,MATCH(B43,PT_DIFFERENTIATION_TER_ID,0))</f>
        <v/>
      </c>
      <c r="AD43" s="2262"/>
      <c r="AE43" s="2262"/>
      <c r="AF43" s="2262"/>
      <c r="AG43" s="2262"/>
      <c r="AH43" s="2262"/>
      <c r="AI43" s="2262"/>
      <c r="AJ43" s="2263"/>
      <c r="AK43" s="1258" t="s">
        <v>403</v>
      </c>
      <c r="AM43" s="1624"/>
      <c r="AN43" s="1624" t="str">
        <f>IF(T43="","",T43)</f>
        <v>Территория действия тарифа</v>
      </c>
      <c r="AO43" s="1624"/>
      <c r="AP43" s="1624"/>
      <c r="AQ43" s="1631">
        <v>21</v>
      </c>
    </row>
    <row customHeight="1" ht="24">
      <c r="A44" s="1267" t="s">
        <v>211</v>
      </c>
      <c r="B44" s="1267" t="s">
        <v>212</v>
      </c>
      <c r="C44" s="1267" t="s">
        <v>213</v>
      </c>
      <c r="D44" s="1267"/>
      <c r="E44" s="2309"/>
      <c r="F44" s="2309"/>
      <c r="G44" s="2308">
        <v>1</v>
      </c>
      <c r="H44" s="1267"/>
      <c r="I44" s="1267"/>
      <c r="J44" s="1267"/>
      <c r="K44" s="1267"/>
      <c r="L44" s="1310"/>
      <c r="M44" s="1610"/>
      <c r="N44" s="1610"/>
      <c r="O44" s="1610"/>
      <c r="P44" s="1412"/>
      <c r="Q44" s="1411"/>
      <c r="R44" s="353"/>
      <c r="S44" s="1955" t="str">
        <f>INDEX(PT_DIFFERENTIATION_NUM_CS,MATCH(C44,PT_DIFFERENTIATION_CS_ID,0))</f>
        <v>..</v>
      </c>
      <c r="T44" s="309" t="s">
        <v>404</v>
      </c>
      <c r="U44" s="300"/>
      <c r="V44" s="2262"/>
      <c r="W44" s="2262"/>
      <c r="X44" s="2262"/>
      <c r="Y44" s="2262"/>
      <c r="Z44" s="2262"/>
      <c r="AA44" s="2263"/>
      <c r="AB44" s="1949"/>
      <c r="AC44" s="2262" t="str">
        <f>INDEX(PT_DIFFERENTIATION_CS,MATCH(C44,PT_DIFFERENTIATION_CS_ID,0))</f>
        <v/>
      </c>
      <c r="AD44" s="2262"/>
      <c r="AE44" s="2262"/>
      <c r="AF44" s="2262"/>
      <c r="AG44" s="2262"/>
      <c r="AH44" s="2262"/>
      <c r="AI44" s="2262"/>
      <c r="AJ44" s="2263"/>
      <c r="AK44" s="1258" t="s">
        <v>405</v>
      </c>
      <c r="AM44" s="1624"/>
      <c r="AN44" s="1624" t="str">
        <f>IF(T44="","",T44)</f>
        <v>Наименование системы теплоснабжения </v>
      </c>
      <c r="AO44" s="1624"/>
      <c r="AP44" s="1624"/>
      <c r="AQ44" s="1631">
        <v>23</v>
      </c>
    </row>
    <row customHeight="1" ht="22.049999999999997">
      <c r="A45" s="1267" t="s">
        <v>211</v>
      </c>
      <c r="B45" s="1267" t="s">
        <v>212</v>
      </c>
      <c r="C45" s="1267" t="s">
        <v>213</v>
      </c>
      <c r="D45" s="1267" t="s">
        <v>214</v>
      </c>
      <c r="E45" s="2309"/>
      <c r="F45" s="2309"/>
      <c r="G45" s="2309"/>
      <c r="H45" s="2308">
        <v>1</v>
      </c>
      <c r="I45" s="1267"/>
      <c r="J45" s="1267"/>
      <c r="K45" s="1267"/>
      <c r="L45" s="1310"/>
      <c r="M45" s="1610"/>
      <c r="N45" s="1610"/>
      <c r="O45" s="1610"/>
      <c r="P45" s="1412"/>
      <c r="Q45" s="1411"/>
      <c r="R45" s="353"/>
      <c r="S45" s="1955" t="str">
        <f>INDEX(PT_DIFFERENTIATION_NUM_IST_TE,MATCH(D45,PT_DIFFERENTIATION_IST_TE_ID,0))</f>
        <v>...</v>
      </c>
      <c r="T45" s="310" t="s">
        <v>406</v>
      </c>
      <c r="U45" s="300"/>
      <c r="V45" s="2262"/>
      <c r="W45" s="2262"/>
      <c r="X45" s="2262"/>
      <c r="Y45" s="2262"/>
      <c r="Z45" s="2262"/>
      <c r="AA45" s="2263"/>
      <c r="AB45" s="1949"/>
      <c r="AC45" s="2262" t="str">
        <f>INDEX(PT_DIFFERENTIATION_IST_TE,MATCH(D45,PT_DIFFERENTIATION_IST_TE_ID,0))</f>
        <v/>
      </c>
      <c r="AD45" s="2262"/>
      <c r="AE45" s="2262"/>
      <c r="AF45" s="2262"/>
      <c r="AG45" s="2262"/>
      <c r="AH45" s="2262"/>
      <c r="AI45" s="2262"/>
      <c r="AJ45" s="2263"/>
      <c r="AK45" s="1258" t="s">
        <v>407</v>
      </c>
      <c r="AM45" s="1624"/>
      <c r="AN45" s="1624" t="str">
        <f>IF(T45="","",T45)</f>
        <v>Источник тепловой энергии  </v>
      </c>
      <c r="AO45" s="1624"/>
      <c r="AP45" s="1624"/>
      <c r="AQ45" s="1631">
        <v>21</v>
      </c>
    </row>
    <row s="1642" customFormat="1" customHeight="1" ht="0">
      <c r="A46" s="1375" t="s">
        <v>211</v>
      </c>
      <c r="B46" s="1375" t="s">
        <v>212</v>
      </c>
      <c r="C46" s="1375" t="s">
        <v>213</v>
      </c>
      <c r="D46" s="1375" t="s">
        <v>214</v>
      </c>
      <c r="E46" s="2309"/>
      <c r="F46" s="2309"/>
      <c r="G46" s="2309"/>
      <c r="H46" s="2309"/>
      <c r="I46" s="2146" t="str">
        <f>S45&amp;".1"</f>
        <v>....1</v>
      </c>
      <c r="J46" s="1375"/>
      <c r="K46" s="1375"/>
      <c r="L46" s="1381" t="s">
        <v>408</v>
      </c>
      <c r="M46" s="1246"/>
      <c r="N46" s="1246"/>
      <c r="O46" s="1246"/>
      <c r="P46" s="2276">
        <v>1</v>
      </c>
      <c r="Q46" s="1951"/>
      <c r="R46" s="356"/>
      <c r="S46" s="1042"/>
      <c r="T46" s="1383"/>
      <c r="U46" s="1384"/>
      <c r="V46" s="2316"/>
      <c r="W46" s="2316"/>
      <c r="X46" s="2316"/>
      <c r="Y46" s="2316"/>
      <c r="Z46" s="2316"/>
      <c r="AA46" s="2317"/>
      <c r="AB46" s="1957"/>
      <c r="AC46" s="2316"/>
      <c r="AD46" s="2316"/>
      <c r="AE46" s="2316"/>
      <c r="AF46" s="2316"/>
      <c r="AG46" s="2316"/>
      <c r="AH46" s="2316"/>
      <c r="AI46" s="2316"/>
      <c r="AJ46" s="2317"/>
      <c r="AK46" s="1385"/>
      <c r="AM46" s="1624"/>
      <c r="AN46" s="1624" t="str">
        <f>IF(T46="","",T46)</f>
        <v/>
      </c>
      <c r="AO46" s="1624"/>
      <c r="AP46" s="1624"/>
      <c r="AQ46" s="1636">
        <v>0</v>
      </c>
    </row>
    <row s="1642" customFormat="1" customHeight="1" ht="0">
      <c r="A47" s="1375" t="s">
        <v>211</v>
      </c>
      <c r="B47" s="1375" t="s">
        <v>212</v>
      </c>
      <c r="C47" s="1375" t="s">
        <v>213</v>
      </c>
      <c r="D47" s="1375" t="s">
        <v>214</v>
      </c>
      <c r="E47" s="2309"/>
      <c r="F47" s="2309"/>
      <c r="G47" s="2309"/>
      <c r="H47" s="2309"/>
      <c r="I47" s="2120"/>
      <c r="J47" s="2146" t="str">
        <f>S45&amp;".1"</f>
        <v>....1</v>
      </c>
      <c r="K47" s="1375"/>
      <c r="L47" s="1381"/>
      <c r="M47" s="1246"/>
      <c r="N47" s="1246"/>
      <c r="O47" s="1246"/>
      <c r="P47" s="2276"/>
      <c r="Q47" s="2276">
        <v>1</v>
      </c>
      <c r="R47" s="357"/>
      <c r="S47" s="1042"/>
      <c r="T47" s="1399"/>
      <c r="U47" s="1384"/>
      <c r="V47" s="2316"/>
      <c r="W47" s="2316"/>
      <c r="X47" s="2316"/>
      <c r="Y47" s="2316"/>
      <c r="Z47" s="2316"/>
      <c r="AA47" s="2317"/>
      <c r="AB47" s="1957"/>
      <c r="AC47" s="2316"/>
      <c r="AD47" s="2316"/>
      <c r="AE47" s="2316"/>
      <c r="AF47" s="2316"/>
      <c r="AG47" s="2316"/>
      <c r="AH47" s="2316"/>
      <c r="AI47" s="2316"/>
      <c r="AJ47" s="2317"/>
      <c r="AK47" s="1385"/>
      <c r="AM47" s="1624"/>
      <c r="AN47" s="1624" t="str">
        <f>IF(T47="","",T47)</f>
        <v/>
      </c>
      <c r="AO47" s="1624"/>
      <c r="AP47" s="1624"/>
      <c r="AQ47" s="1636">
        <v>0</v>
      </c>
    </row>
    <row customHeight="1" ht="22.049999999999997">
      <c r="A48" s="1267" t="s">
        <v>211</v>
      </c>
      <c r="B48" s="1267" t="s">
        <v>212</v>
      </c>
      <c r="C48" s="1267" t="s">
        <v>213</v>
      </c>
      <c r="D48" s="1267" t="s">
        <v>214</v>
      </c>
      <c r="E48" s="2309"/>
      <c r="F48" s="2309"/>
      <c r="G48" s="2309"/>
      <c r="H48" s="2309"/>
      <c r="I48" s="2120"/>
      <c r="J48" s="2120"/>
      <c r="K48" s="1938" t="str">
        <f>S45&amp;".1"</f>
        <v>....1</v>
      </c>
      <c r="L48" s="1310"/>
      <c r="P48" s="2276"/>
      <c r="Q48" s="2276"/>
      <c r="R48" s="357">
        <v>1</v>
      </c>
      <c r="S48" s="1959" t="str">
        <f>$K48</f>
        <v>....1</v>
      </c>
      <c r="T48" s="1958"/>
      <c r="U48" s="300"/>
      <c r="V48" s="751"/>
      <c r="W48" s="1257"/>
      <c r="X48" s="1952"/>
      <c r="Y48" s="1939" t="s">
        <v>66</v>
      </c>
      <c r="Z48" s="1952"/>
      <c r="AA48" s="1939" t="s">
        <v>66</v>
      </c>
      <c r="AB48" s="1961"/>
      <c r="AC48" s="1960" t="s">
        <v>22</v>
      </c>
      <c r="AD48" s="751"/>
      <c r="AE48" s="1257"/>
      <c r="AF48" s="1952"/>
      <c r="AG48" s="1939" t="s">
        <v>66</v>
      </c>
      <c r="AH48" s="1952"/>
      <c r="AI48" s="1939" t="s">
        <v>66</v>
      </c>
      <c r="AJ48" s="1348"/>
      <c r="AK48" s="2272" t="s">
        <v>481</v>
      </c>
      <c r="AL48" s="1636">
        <f>STRCHECKDATE(#REF!)</f>
      </c>
      <c r="AM48" s="1624"/>
      <c r="AN48" s="1624" t="str">
        <f>IF(T48="","",T48)</f>
        <v/>
      </c>
      <c r="AO48" s="1624"/>
      <c r="AP48" s="1624"/>
      <c r="AQ48" s="1631">
        <v>21</v>
      </c>
    </row>
    <row customHeight="1" ht="11.549999999999999">
      <c r="A49" s="1267" t="s">
        <v>211</v>
      </c>
      <c r="B49" s="1267" t="s">
        <v>212</v>
      </c>
      <c r="C49" s="1267" t="s">
        <v>213</v>
      </c>
      <c r="D49" s="1267" t="s">
        <v>214</v>
      </c>
      <c r="E49" s="2309"/>
      <c r="F49" s="2309"/>
      <c r="G49" s="2309"/>
      <c r="H49" s="2309"/>
      <c r="I49" s="2120"/>
      <c r="J49" s="2146"/>
      <c r="K49" s="1267"/>
      <c r="L49" s="1310"/>
      <c r="P49" s="2276"/>
      <c r="Q49" s="2276"/>
      <c r="R49" s="356"/>
      <c r="S49" s="1278"/>
      <c r="T49" s="287" t="s">
        <v>469</v>
      </c>
      <c r="U49" s="600"/>
      <c r="V49" s="600"/>
      <c r="W49" s="600"/>
      <c r="X49" s="600"/>
      <c r="Y49" s="600"/>
      <c r="Z49" s="600"/>
      <c r="AA49" s="324"/>
      <c r="AB49" s="600"/>
      <c r="AC49" s="600"/>
      <c r="AD49" s="600"/>
      <c r="AE49" s="600"/>
      <c r="AF49" s="600"/>
      <c r="AG49" s="600"/>
      <c r="AH49" s="600"/>
      <c r="AI49" s="600"/>
      <c r="AJ49" s="324"/>
      <c r="AK49" s="2274"/>
      <c r="AM49" s="1624"/>
      <c r="AN49" s="1624" t="str">
        <f>IF(T49="","",T49)</f>
        <v>Добавить строку</v>
      </c>
      <c r="AO49" s="1624"/>
      <c r="AP49" s="1624"/>
      <c r="AQ49" s="1631">
        <v>11</v>
      </c>
    </row>
    <row s="1642" customFormat="1" customHeight="1" ht="1.05">
      <c r="A50" s="1375" t="s">
        <v>211</v>
      </c>
      <c r="B50" s="1375" t="s">
        <v>212</v>
      </c>
      <c r="C50" s="1375" t="s">
        <v>213</v>
      </c>
      <c r="D50" s="1375" t="s">
        <v>214</v>
      </c>
      <c r="E50" s="2309"/>
      <c r="F50" s="2309"/>
      <c r="G50" s="2309"/>
      <c r="H50" s="2309"/>
      <c r="I50" s="2146"/>
      <c r="J50" s="1375"/>
      <c r="K50" s="1375"/>
      <c r="L50" s="1381"/>
      <c r="M50" s="1246"/>
      <c r="N50" s="1246"/>
      <c r="O50" s="1246"/>
      <c r="P50" s="2276"/>
      <c r="Q50" s="1951"/>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211</v>
      </c>
      <c r="B51" s="1375" t="s">
        <v>212</v>
      </c>
      <c r="C51" s="1375" t="s">
        <v>213</v>
      </c>
      <c r="D51" s="1375" t="s">
        <v>214</v>
      </c>
      <c r="E51" s="2309"/>
      <c r="F51" s="2309"/>
      <c r="G51" s="2309"/>
      <c r="H51" s="2308"/>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211</v>
      </c>
      <c r="B52" s="1375" t="s">
        <v>212</v>
      </c>
      <c r="C52" s="1375" t="s">
        <v>213</v>
      </c>
      <c r="D52" s="1374"/>
      <c r="E52" s="2309"/>
      <c r="F52" s="2309"/>
      <c r="G52" s="2308"/>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211</v>
      </c>
      <c r="B53" s="1375" t="s">
        <v>212</v>
      </c>
      <c r="C53" s="1374"/>
      <c r="D53" s="1374"/>
      <c r="E53" s="2309"/>
      <c r="F53" s="2308"/>
      <c r="G53" s="1374"/>
      <c r="H53" s="1374"/>
      <c r="I53" s="1374"/>
      <c r="J53" s="1374"/>
      <c r="K53" s="1374"/>
      <c r="L53" s="1377"/>
      <c r="M53" s="1379"/>
      <c r="N53" s="1379"/>
      <c r="O53" s="351"/>
      <c r="P53" s="1316"/>
      <c r="Q53" s="1317"/>
      <c r="R53" s="1316"/>
      <c r="S53" s="1322"/>
      <c r="T53" s="1325" t="s">
        <v>420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211</v>
      </c>
      <c r="B54" s="1375"/>
      <c r="C54" s="1375"/>
      <c r="D54" s="1375"/>
      <c r="E54" s="2309"/>
      <c r="F54" s="1375"/>
      <c r="G54" s="1375"/>
      <c r="H54" s="1375"/>
      <c r="I54" s="1375"/>
      <c r="J54" s="1375"/>
      <c r="K54" s="1375"/>
      <c r="L54" s="1381"/>
      <c r="M54" s="1379"/>
      <c r="N54" s="1379"/>
      <c r="O54" s="351"/>
      <c r="P54" s="380"/>
      <c r="Q54" s="1344"/>
      <c r="R54" s="380"/>
      <c r="S54" s="1322"/>
      <c r="T54" s="1325" t="s">
        <v>421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211</v>
      </c>
      <c r="B55" s="1375"/>
      <c r="C55" s="1375"/>
      <c r="D55" s="1375"/>
      <c r="E55" s="2308"/>
      <c r="F55" s="1375"/>
      <c r="G55" s="1375"/>
      <c r="H55" s="1375"/>
      <c r="I55" s="1375"/>
      <c r="J55" s="1375"/>
      <c r="K55" s="1375"/>
      <c r="L55" s="1381"/>
      <c r="M55" s="1379"/>
      <c r="N55" s="1379"/>
      <c r="O55" s="351"/>
      <c r="P55" s="380"/>
      <c r="Q55" s="1344"/>
      <c r="R55" s="380"/>
      <c r="S55" s="1322"/>
      <c r="T55" s="1325" t="s">
        <v>421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304"/>
      <c r="U58" s="2304"/>
      <c r="V58" s="2304"/>
      <c r="W58" s="2304"/>
      <c r="X58" s="2304"/>
      <c r="Y58" s="2304"/>
      <c r="Z58" s="2304"/>
      <c r="AA58" s="2304"/>
      <c r="AB58" s="2304"/>
      <c r="AC58" s="2304"/>
      <c r="AD58" s="2304"/>
      <c r="AE58" s="2304"/>
      <c r="AF58" s="2304"/>
      <c r="AG58" s="2304"/>
      <c r="AH58" s="2304"/>
      <c r="AI58" s="2304"/>
      <c r="AJ58" s="2304"/>
      <c r="AK58" s="2304"/>
      <c r="AQ58" s="1631">
        <v>19</v>
      </c>
    </row>
    <row customHeight="1" ht="21">
      <c r="O59" s="1635"/>
      <c r="T59" s="2304"/>
      <c r="U59" s="2304"/>
      <c r="V59" s="2304"/>
      <c r="W59" s="2304"/>
      <c r="X59" s="2304"/>
      <c r="Y59" s="2304"/>
      <c r="Z59" s="2304"/>
      <c r="AA59" s="2304"/>
      <c r="AB59" s="2304"/>
      <c r="AC59" s="2304"/>
      <c r="AD59" s="2304"/>
      <c r="AE59" s="2304"/>
      <c r="AF59" s="2304"/>
      <c r="AG59" s="2304"/>
      <c r="AH59" s="2304"/>
      <c r="AI59" s="2304"/>
      <c r="AJ59" s="2304"/>
      <c r="AK59" s="230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304"/>
      <c r="U61" s="2304"/>
      <c r="V61" s="2304"/>
      <c r="W61" s="2304"/>
      <c r="X61" s="2304"/>
      <c r="Y61" s="2304"/>
      <c r="Z61" s="2304"/>
      <c r="AA61" s="2304"/>
      <c r="AB61" s="2304"/>
      <c r="AC61" s="2304"/>
      <c r="AD61" s="2304"/>
      <c r="AE61" s="2304"/>
      <c r="AF61" s="2304"/>
      <c r="AG61" s="2304"/>
      <c r="AH61" s="2304"/>
      <c r="AI61" s="2304"/>
      <c r="AJ61" s="2304"/>
      <c r="AK61" s="2304"/>
      <c r="AQ61" s="1631">
        <v>19</v>
      </c>
    </row>
    <row customHeight="1" ht="16.8">
      <c r="O62" s="1635"/>
      <c r="T62" s="2304"/>
      <c r="U62" s="2304"/>
      <c r="V62" s="2304"/>
      <c r="W62" s="2304"/>
      <c r="X62" s="2304"/>
      <c r="Y62" s="2304"/>
      <c r="Z62" s="2304"/>
      <c r="AA62" s="2304"/>
      <c r="AB62" s="2304"/>
      <c r="AC62" s="2304"/>
      <c r="AD62" s="2304"/>
      <c r="AE62" s="2304"/>
      <c r="AF62" s="2304"/>
      <c r="AG62" s="2304"/>
      <c r="AH62" s="2304"/>
      <c r="AI62" s="2304"/>
      <c r="AJ62" s="2304"/>
      <c r="AK62" s="2304"/>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4A117-147A-BAD8-BFA8-A0D5D5C234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25">
        <f>INDEX(PT_DIFFERENTIATION_NUM_NTAR,MATCH(A2,PT_DIFFERENTIATION_NTAR_ID,0))</f>
      </c>
      <c r="T2" s="298" t="s">
        <v>130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23"/>
      <c r="Q3" s="352"/>
      <c r="R3" s="353"/>
      <c r="S3" s="1425">
        <f>INDEX(PT_DIFFERENTIATION_NUM_TER,MATCH(B3,PT_DIFFERENTIATION_TER_ID,0))</f>
      </c>
      <c r="T3" s="308" t="s">
        <v>402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25">
        <f>INDEX(PT_DIFFERENTIATION_NUM_CS,MATCH(C4,PT_DIFFERENTIATION_CS_ID,0))</f>
      </c>
      <c r="T4" s="309" t="s">
        <v>484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22"/>
      <c r="R5" s="356"/>
      <c r="S5" s="1425">
        <f>$I5</f>
      </c>
      <c r="T5" s="285" t="s">
        <v>486</v>
      </c>
      <c r="U5" s="300"/>
      <c r="V5" s="2369"/>
      <c r="W5" s="2370"/>
      <c r="X5" s="2370"/>
      <c r="Y5" s="2370"/>
      <c r="Z5" s="2370"/>
      <c r="AA5" s="2370"/>
      <c r="AB5" s="2371"/>
      <c r="AC5" s="2372"/>
      <c r="AD5" s="2373"/>
      <c r="AE5" s="2373"/>
      <c r="AF5" s="2373"/>
      <c r="AG5" s="2373"/>
      <c r="AH5" s="2373"/>
      <c r="AI5" s="2373"/>
      <c r="AJ5" s="2374"/>
      <c r="AK5" s="1258" t="s">
        <v>487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411</v>
      </c>
      <c r="P6" s="2276"/>
      <c r="Q6" s="2276">
        <v>1</v>
      </c>
      <c r="R6" s="357"/>
      <c r="S6" s="1425">
        <f>$J6</f>
      </c>
      <c r="T6" s="286" t="s">
        <v>412</v>
      </c>
      <c r="U6" s="300"/>
      <c r="V6" s="2264"/>
      <c r="W6" s="2265"/>
      <c r="X6" s="2265"/>
      <c r="Y6" s="2265"/>
      <c r="Z6" s="2265"/>
      <c r="AA6" s="2265"/>
      <c r="AB6" s="2266"/>
      <c r="AC6" s="2264"/>
      <c r="AD6" s="2265"/>
      <c r="AE6" s="2265"/>
      <c r="AF6" s="2265"/>
      <c r="AG6" s="2265"/>
      <c r="AH6" s="2265"/>
      <c r="AI6" s="2265"/>
      <c r="AJ6" s="2266"/>
      <c r="AK6" s="1307" t="s">
        <v>488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25">
        <f>$K7</f>
      </c>
      <c r="T7" s="1437"/>
      <c r="U7" s="300"/>
      <c r="V7" s="751"/>
      <c r="W7" s="751"/>
      <c r="X7" s="1257"/>
      <c r="Y7" s="2284"/>
      <c r="Z7" s="2126" t="s">
        <v>66</v>
      </c>
      <c r="AA7" s="2284"/>
      <c r="AB7" s="2126" t="s">
        <v>66</v>
      </c>
      <c r="AC7" s="751"/>
      <c r="AD7" s="751"/>
      <c r="AE7" s="1257"/>
      <c r="AF7" s="2284"/>
      <c r="AG7" s="2126" t="s">
        <v>66</v>
      </c>
      <c r="AH7" s="2306"/>
      <c r="AI7" s="2126" t="s">
        <v>66</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24"/>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8"/>
      <c r="F11" s="2278"/>
      <c r="G11" s="2278"/>
      <c r="H11" s="2277"/>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26"/>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66</v>
      </c>
      <c r="AH15" s="2286"/>
      <c r="AI15" s="2287" t="s">
        <v>66</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305</v>
      </c>
      <c r="T36" s="2146"/>
      <c r="U36" s="2146"/>
      <c r="V36" s="2146"/>
      <c r="W36" s="2146"/>
      <c r="X36" s="2146"/>
      <c r="Y36" s="2146"/>
      <c r="Z36" s="2146"/>
      <c r="AA36" s="2146"/>
      <c r="AB36" s="2146"/>
      <c r="AC36" s="2146"/>
      <c r="AD36" s="2146"/>
      <c r="AE36" s="2146"/>
      <c r="AF36" s="2146"/>
      <c r="AG36" s="2146"/>
      <c r="AH36" s="2146"/>
      <c r="AI36" s="2146"/>
      <c r="AJ36" s="2146"/>
      <c r="AK36" s="2146" t="s">
        <v>306</v>
      </c>
      <c r="AQ36" s="1155">
        <v>14</v>
      </c>
    </row>
    <row customHeight="1" ht="14.699999999999998">
      <c r="Q37" s="376"/>
      <c r="R37" s="376"/>
      <c r="S37" s="2292" t="s">
        <v>89</v>
      </c>
      <c r="T37" s="2228" t="s">
        <v>429</v>
      </c>
      <c r="U37" s="301"/>
      <c r="V37" s="2293" t="s">
        <v>430</v>
      </c>
      <c r="W37" s="2294"/>
      <c r="X37" s="2294"/>
      <c r="Y37" s="2294"/>
      <c r="Z37" s="2294"/>
      <c r="AA37" s="2295"/>
      <c r="AB37" s="2296" t="s">
        <v>431</v>
      </c>
      <c r="AC37" s="2293" t="s">
        <v>430</v>
      </c>
      <c r="AD37" s="2294"/>
      <c r="AE37" s="2294"/>
      <c r="AF37" s="2294"/>
      <c r="AG37" s="2294"/>
      <c r="AH37" s="2295"/>
      <c r="AI37" s="2296" t="s">
        <v>432</v>
      </c>
      <c r="AJ37" s="2299" t="s">
        <v>433</v>
      </c>
      <c r="AK37" s="2146"/>
      <c r="AQ37" s="1155">
        <v>14</v>
      </c>
    </row>
    <row customHeight="1" ht="35.699999999999996">
      <c r="Q38" s="376"/>
      <c r="R38" s="376"/>
      <c r="S38" s="2292"/>
      <c r="T38" s="2228"/>
      <c r="U38" s="1031"/>
      <c r="V38" s="1352" t="s">
        <v>492</v>
      </c>
      <c r="W38" s="2281" t="s">
        <v>436</v>
      </c>
      <c r="X38" s="2282"/>
      <c r="Y38" s="2281" t="s">
        <v>437</v>
      </c>
      <c r="Z38" s="2288"/>
      <c r="AA38" s="2282"/>
      <c r="AB38" s="2297"/>
      <c r="AC38" s="1352" t="s">
        <v>492</v>
      </c>
      <c r="AD38" s="2281" t="s">
        <v>436</v>
      </c>
      <c r="AE38" s="2282"/>
      <c r="AF38" s="2281" t="s">
        <v>437</v>
      </c>
      <c r="AG38" s="2288"/>
      <c r="AH38" s="2282"/>
      <c r="AI38" s="2297"/>
      <c r="AJ38" s="2300"/>
      <c r="AK38" s="2146"/>
      <c r="AQ38" s="1155">
        <v>34</v>
      </c>
    </row>
    <row customHeight="1" ht="35.699999999999996">
      <c r="A39" s="1370"/>
      <c r="B39" s="1370" t="s">
        <v>142</v>
      </c>
      <c r="C39" s="1370" t="s">
        <v>143</v>
      </c>
      <c r="D39" s="1370" t="s">
        <v>144</v>
      </c>
      <c r="E39" s="1364" t="s">
        <v>438</v>
      </c>
      <c r="F39" s="1364" t="s">
        <v>439</v>
      </c>
      <c r="G39" s="1364" t="s">
        <v>440</v>
      </c>
      <c r="H39" s="1364"/>
      <c r="I39" s="1364" t="s">
        <v>493</v>
      </c>
      <c r="J39" s="1364" t="s">
        <v>443</v>
      </c>
      <c r="K39" s="1364" t="s">
        <v>494</v>
      </c>
      <c r="L39" s="1364" t="s">
        <v>423</v>
      </c>
      <c r="Q39" s="376"/>
      <c r="R39" s="376"/>
      <c r="S39" s="2292"/>
      <c r="T39" s="2228"/>
      <c r="U39" s="302"/>
      <c r="V39" s="1352" t="s">
        <v>495</v>
      </c>
      <c r="W39" s="1222" t="s">
        <v>496</v>
      </c>
      <c r="X39" s="1222" t="s">
        <v>497</v>
      </c>
      <c r="Y39" s="1357" t="s">
        <v>447</v>
      </c>
      <c r="Z39" s="2289" t="s">
        <v>448</v>
      </c>
      <c r="AA39" s="2290"/>
      <c r="AB39" s="2298"/>
      <c r="AC39" s="1352" t="s">
        <v>495</v>
      </c>
      <c r="AD39" s="1222" t="s">
        <v>496</v>
      </c>
      <c r="AE39" s="1222" t="s">
        <v>497</v>
      </c>
      <c r="AF39" s="1357" t="s">
        <v>447</v>
      </c>
      <c r="AG39" s="2289" t="s">
        <v>448</v>
      </c>
      <c r="AH39" s="2290"/>
      <c r="AI39" s="2298"/>
      <c r="AJ39" s="2301"/>
      <c r="AK39" s="2146"/>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77">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78"/>
      <c r="F42" s="2277">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78"/>
      <c r="F43" s="2278"/>
      <c r="G43" s="2277">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498</v>
      </c>
      <c r="E44" s="2278"/>
      <c r="F44" s="2278"/>
      <c r="G44" s="2278"/>
      <c r="H44" s="2278"/>
      <c r="I44" s="2275" t="str">
        <f>S43&amp;".1"</f>
        <v>...1</v>
      </c>
      <c r="J44" s="1363"/>
      <c r="K44" s="1363"/>
      <c r="L44" s="1364"/>
      <c r="P44" s="2276">
        <v>1</v>
      </c>
      <c r="Q44" s="1354"/>
      <c r="R44" s="356"/>
      <c r="S44" s="1358" t="str">
        <f>$I44</f>
        <v>...1</v>
      </c>
      <c r="T44" s="285" t="s">
        <v>486</v>
      </c>
      <c r="U44" s="300"/>
      <c r="V44" s="2369"/>
      <c r="W44" s="2370"/>
      <c r="X44" s="2370"/>
      <c r="Y44" s="2370"/>
      <c r="Z44" s="2370"/>
      <c r="AA44" s="2370"/>
      <c r="AB44" s="2371"/>
      <c r="AC44" s="2372"/>
      <c r="AD44" s="2373"/>
      <c r="AE44" s="2373"/>
      <c r="AF44" s="2373"/>
      <c r="AG44" s="2373"/>
      <c r="AH44" s="2373"/>
      <c r="AI44" s="2373"/>
      <c r="AJ44" s="2374"/>
      <c r="AK44" s="1258" t="s">
        <v>487</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498</v>
      </c>
      <c r="E45" s="2278"/>
      <c r="F45" s="2278"/>
      <c r="G45" s="2278"/>
      <c r="H45" s="2278"/>
      <c r="I45" s="2305"/>
      <c r="J45" s="2275" t="str">
        <f>I44&amp;".1"</f>
        <v>...1.1</v>
      </c>
      <c r="K45" s="1363"/>
      <c r="L45" s="1364" t="s">
        <v>411</v>
      </c>
      <c r="P45" s="2276"/>
      <c r="Q45" s="2276">
        <v>1</v>
      </c>
      <c r="R45" s="357"/>
      <c r="S45" s="1358" t="str">
        <f>$J45</f>
        <v>...1.1</v>
      </c>
      <c r="T45" s="286" t="s">
        <v>412</v>
      </c>
      <c r="U45" s="300"/>
      <c r="V45" s="2264"/>
      <c r="W45" s="2265"/>
      <c r="X45" s="2265"/>
      <c r="Y45" s="2265"/>
      <c r="Z45" s="2265"/>
      <c r="AA45" s="2265"/>
      <c r="AB45" s="2266"/>
      <c r="AC45" s="2264"/>
      <c r="AD45" s="2265"/>
      <c r="AE45" s="2265"/>
      <c r="AF45" s="2265"/>
      <c r="AG45" s="2265"/>
      <c r="AH45" s="2265"/>
      <c r="AI45" s="2265"/>
      <c r="AJ45" s="2266"/>
      <c r="AK45" s="1307" t="s">
        <v>488</v>
      </c>
      <c r="AM45" s="500"/>
      <c r="AN45" s="500" t="str">
        <f>IF(T45="","",T45)</f>
        <v>Группа потребителей</v>
      </c>
      <c r="AO45" s="500"/>
      <c r="AP45" s="500"/>
      <c r="AQ45" s="1155">
        <v>23</v>
      </c>
    </row>
    <row customHeight="1" ht="24">
      <c r="A46" s="1363" t="s">
        <v>231</v>
      </c>
      <c r="B46" s="1363" t="s">
        <v>232</v>
      </c>
      <c r="C46" s="1363" t="s">
        <v>233</v>
      </c>
      <c r="D46" s="1363" t="s">
        <v>498</v>
      </c>
      <c r="E46" s="2278"/>
      <c r="F46" s="2278"/>
      <c r="G46" s="2278"/>
      <c r="H46" s="2278"/>
      <c r="I46" s="2305"/>
      <c r="J46" s="2305"/>
      <c r="K46" s="2275" t="str">
        <f>J45&amp;".1"</f>
        <v>...1.1.1</v>
      </c>
      <c r="L46" s="1364"/>
      <c r="P46" s="2276"/>
      <c r="Q46" s="2276"/>
      <c r="R46" s="357">
        <v>1</v>
      </c>
      <c r="S46" s="1358" t="str">
        <f>$K46</f>
        <v>...1.1.1</v>
      </c>
      <c r="T46" s="1437"/>
      <c r="U46" s="300"/>
      <c r="V46" s="1360"/>
      <c r="W46" s="1360"/>
      <c r="X46" s="1361"/>
      <c r="Y46" s="2286"/>
      <c r="Z46" s="2287" t="s">
        <v>66</v>
      </c>
      <c r="AA46" s="2286"/>
      <c r="AB46" s="2287" t="s">
        <v>66</v>
      </c>
      <c r="AC46" s="751"/>
      <c r="AD46" s="751"/>
      <c r="AE46" s="1257"/>
      <c r="AF46" s="2284"/>
      <c r="AG46" s="2126" t="s">
        <v>66</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498</v>
      </c>
      <c r="E47" s="2278"/>
      <c r="F47" s="2278"/>
      <c r="G47" s="2278"/>
      <c r="H47" s="2278"/>
      <c r="I47" s="2305"/>
      <c r="J47" s="2305"/>
      <c r="K47" s="2275"/>
      <c r="L47" s="1364"/>
      <c r="P47" s="2276"/>
      <c r="Q47" s="2276"/>
      <c r="R47" s="357"/>
      <c r="S47" s="1359"/>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231</v>
      </c>
      <c r="B48" s="1363" t="s">
        <v>232</v>
      </c>
      <c r="C48" s="1363" t="s">
        <v>233</v>
      </c>
      <c r="D48" s="1363" t="s">
        <v>498</v>
      </c>
      <c r="E48" s="2278"/>
      <c r="F48" s="2278"/>
      <c r="G48" s="2278"/>
      <c r="H48" s="2278"/>
      <c r="I48" s="2305"/>
      <c r="J48" s="2275"/>
      <c r="K48" s="1363"/>
      <c r="L48" s="1364"/>
      <c r="P48" s="2276"/>
      <c r="Q48" s="2276"/>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498</v>
      </c>
      <c r="E49" s="2278"/>
      <c r="F49" s="2278"/>
      <c r="G49" s="2278"/>
      <c r="H49" s="2278"/>
      <c r="I49" s="2275"/>
      <c r="J49" s="1363"/>
      <c r="K49" s="1363"/>
      <c r="L49" s="1364"/>
      <c r="P49" s="2276"/>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498</v>
      </c>
      <c r="E50" s="2278"/>
      <c r="F50" s="2278"/>
      <c r="G50" s="2278"/>
      <c r="H50" s="2277"/>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78"/>
      <c r="F51" s="2277"/>
      <c r="G51" s="1314"/>
      <c r="H51" s="1314"/>
      <c r="I51" s="1314"/>
      <c r="J51" s="1314"/>
      <c r="K51" s="1314"/>
      <c r="L51" s="1426"/>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77"/>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AD37F-B941-9AE9-408D-214BC86559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486</v>
      </c>
      <c r="U5" s="300"/>
      <c r="V5" s="2369"/>
      <c r="W5" s="2370"/>
      <c r="X5" s="2370"/>
      <c r="Y5" s="2370"/>
      <c r="Z5" s="2370"/>
      <c r="AA5" s="2370"/>
      <c r="AB5" s="2371"/>
      <c r="AC5" s="2372"/>
      <c r="AD5" s="2373"/>
      <c r="AE5" s="2373"/>
      <c r="AF5" s="2373"/>
      <c r="AG5" s="2373"/>
      <c r="AH5" s="2373"/>
      <c r="AI5" s="2373"/>
      <c r="AJ5" s="2374"/>
      <c r="AK5" s="1258" t="s">
        <v>487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411</v>
      </c>
      <c r="P6" s="2276"/>
      <c r="Q6" s="2276">
        <v>1</v>
      </c>
      <c r="R6" s="357"/>
      <c r="S6" s="1457">
        <f>$J6</f>
      </c>
      <c r="T6" s="286" t="s">
        <v>412</v>
      </c>
      <c r="U6" s="300"/>
      <c r="V6" s="2264"/>
      <c r="W6" s="2265"/>
      <c r="X6" s="2265"/>
      <c r="Y6" s="2265"/>
      <c r="Z6" s="2265"/>
      <c r="AA6" s="2265"/>
      <c r="AB6" s="2266"/>
      <c r="AC6" s="2264"/>
      <c r="AD6" s="2265"/>
      <c r="AE6" s="2265"/>
      <c r="AF6" s="2265"/>
      <c r="AG6" s="2265"/>
      <c r="AH6" s="2265"/>
      <c r="AI6" s="2265"/>
      <c r="AJ6" s="2266"/>
      <c r="AK6" s="1307" t="s">
        <v>488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66</v>
      </c>
      <c r="AA7" s="2284"/>
      <c r="AB7" s="2126" t="s">
        <v>66</v>
      </c>
      <c r="AC7" s="751"/>
      <c r="AD7" s="751"/>
      <c r="AE7" s="1257"/>
      <c r="AF7" s="2284"/>
      <c r="AG7" s="2126" t="s">
        <v>66</v>
      </c>
      <c r="AH7" s="2306"/>
      <c r="AI7" s="2126" t="s">
        <v>66</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66</v>
      </c>
      <c r="AH15" s="2286"/>
      <c r="AI15" s="2287" t="s">
        <v>66</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305</v>
      </c>
      <c r="T36" s="2146"/>
      <c r="U36" s="2146"/>
      <c r="V36" s="2146"/>
      <c r="W36" s="2146"/>
      <c r="X36" s="2146"/>
      <c r="Y36" s="2146"/>
      <c r="Z36" s="2146"/>
      <c r="AA36" s="2146"/>
      <c r="AB36" s="2146"/>
      <c r="AC36" s="2146"/>
      <c r="AD36" s="2146"/>
      <c r="AE36" s="2146"/>
      <c r="AF36" s="2146"/>
      <c r="AG36" s="2146"/>
      <c r="AH36" s="2146"/>
      <c r="AI36" s="2146"/>
      <c r="AJ36" s="2146"/>
      <c r="AK36" s="2146" t="s">
        <v>306</v>
      </c>
      <c r="AQ36" s="1155">
        <v>14</v>
      </c>
    </row>
    <row customHeight="1" ht="14.699999999999998">
      <c r="Q37" s="376"/>
      <c r="R37" s="376"/>
      <c r="S37" s="2292" t="s">
        <v>89</v>
      </c>
      <c r="T37" s="2228" t="s">
        <v>429</v>
      </c>
      <c r="U37" s="301"/>
      <c r="V37" s="2293" t="s">
        <v>430</v>
      </c>
      <c r="W37" s="2294"/>
      <c r="X37" s="2294"/>
      <c r="Y37" s="2294"/>
      <c r="Z37" s="2294"/>
      <c r="AA37" s="2295"/>
      <c r="AB37" s="2296" t="s">
        <v>431</v>
      </c>
      <c r="AC37" s="2293" t="s">
        <v>430</v>
      </c>
      <c r="AD37" s="2294"/>
      <c r="AE37" s="2294"/>
      <c r="AF37" s="2294"/>
      <c r="AG37" s="2294"/>
      <c r="AH37" s="2295"/>
      <c r="AI37" s="2296" t="s">
        <v>432</v>
      </c>
      <c r="AJ37" s="2299" t="s">
        <v>433</v>
      </c>
      <c r="AK37" s="2146"/>
      <c r="AQ37" s="1155">
        <v>14</v>
      </c>
    </row>
    <row customHeight="1" ht="35.699999999999996">
      <c r="Q38" s="376"/>
      <c r="R38" s="376"/>
      <c r="S38" s="2292"/>
      <c r="T38" s="2228"/>
      <c r="U38" s="1031"/>
      <c r="V38" s="1452" t="s">
        <v>492</v>
      </c>
      <c r="W38" s="2281" t="s">
        <v>436</v>
      </c>
      <c r="X38" s="2282"/>
      <c r="Y38" s="2281" t="s">
        <v>437</v>
      </c>
      <c r="Z38" s="2288"/>
      <c r="AA38" s="2282"/>
      <c r="AB38" s="2297"/>
      <c r="AC38" s="1452" t="s">
        <v>492</v>
      </c>
      <c r="AD38" s="2281" t="s">
        <v>436</v>
      </c>
      <c r="AE38" s="2282"/>
      <c r="AF38" s="2281" t="s">
        <v>437</v>
      </c>
      <c r="AG38" s="2288"/>
      <c r="AH38" s="2282"/>
      <c r="AI38" s="2297"/>
      <c r="AJ38" s="2300"/>
      <c r="AK38" s="2146"/>
      <c r="AQ38" s="1155">
        <v>34</v>
      </c>
    </row>
    <row customHeight="1" ht="35.699999999999996">
      <c r="A39" s="1370"/>
      <c r="B39" s="1370" t="s">
        <v>142</v>
      </c>
      <c r="C39" s="1370" t="s">
        <v>143</v>
      </c>
      <c r="D39" s="1370" t="s">
        <v>144</v>
      </c>
      <c r="E39" s="1364" t="s">
        <v>438</v>
      </c>
      <c r="F39" s="1364" t="s">
        <v>439</v>
      </c>
      <c r="G39" s="1364" t="s">
        <v>440</v>
      </c>
      <c r="H39" s="1364"/>
      <c r="I39" s="1364" t="s">
        <v>493</v>
      </c>
      <c r="J39" s="1364" t="s">
        <v>443</v>
      </c>
      <c r="K39" s="1364" t="s">
        <v>494</v>
      </c>
      <c r="L39" s="1364" t="s">
        <v>423</v>
      </c>
      <c r="Q39" s="376"/>
      <c r="R39" s="376"/>
      <c r="S39" s="2292"/>
      <c r="T39" s="2228"/>
      <c r="U39" s="302"/>
      <c r="V39" s="1452" t="s">
        <v>495</v>
      </c>
      <c r="W39" s="1222" t="s">
        <v>496</v>
      </c>
      <c r="X39" s="1222" t="s">
        <v>497</v>
      </c>
      <c r="Y39" s="1455" t="s">
        <v>447</v>
      </c>
      <c r="Z39" s="2289" t="s">
        <v>448</v>
      </c>
      <c r="AA39" s="2290"/>
      <c r="AB39" s="2298"/>
      <c r="AC39" s="1452" t="s">
        <v>495</v>
      </c>
      <c r="AD39" s="1222" t="s">
        <v>496</v>
      </c>
      <c r="AE39" s="1222" t="s">
        <v>497</v>
      </c>
      <c r="AF39" s="1455" t="s">
        <v>447</v>
      </c>
      <c r="AG39" s="2289" t="s">
        <v>448</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499</v>
      </c>
      <c r="E44" s="2278"/>
      <c r="F44" s="2278"/>
      <c r="G44" s="2278"/>
      <c r="H44" s="2278"/>
      <c r="I44" s="2275" t="str">
        <f>S43&amp;".1"</f>
        <v>...1</v>
      </c>
      <c r="J44" s="1363"/>
      <c r="K44" s="1363"/>
      <c r="L44" s="1364"/>
      <c r="P44" s="2276">
        <v>1</v>
      </c>
      <c r="Q44" s="1450"/>
      <c r="R44" s="356"/>
      <c r="S44" s="1457" t="str">
        <f>$I44</f>
        <v>...1</v>
      </c>
      <c r="T44" s="285" t="s">
        <v>486</v>
      </c>
      <c r="U44" s="300"/>
      <c r="V44" s="2369"/>
      <c r="W44" s="2370"/>
      <c r="X44" s="2370"/>
      <c r="Y44" s="2370"/>
      <c r="Z44" s="2370"/>
      <c r="AA44" s="2370"/>
      <c r="AB44" s="2371"/>
      <c r="AC44" s="2372"/>
      <c r="AD44" s="2373"/>
      <c r="AE44" s="2373"/>
      <c r="AF44" s="2373"/>
      <c r="AG44" s="2373"/>
      <c r="AH44" s="2373"/>
      <c r="AI44" s="2373"/>
      <c r="AJ44" s="2374"/>
      <c r="AK44" s="1258" t="s">
        <v>487</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499</v>
      </c>
      <c r="E45" s="2278"/>
      <c r="F45" s="2278"/>
      <c r="G45" s="2278"/>
      <c r="H45" s="2278"/>
      <c r="I45" s="2305"/>
      <c r="J45" s="2275" t="str">
        <f>I44&amp;".1"</f>
        <v>...1.1</v>
      </c>
      <c r="K45" s="1363"/>
      <c r="L45" s="1364" t="s">
        <v>411</v>
      </c>
      <c r="P45" s="2276"/>
      <c r="Q45" s="2276">
        <v>1</v>
      </c>
      <c r="R45" s="357"/>
      <c r="S45" s="1457" t="str">
        <f>$J45</f>
        <v>...1.1</v>
      </c>
      <c r="T45" s="286" t="s">
        <v>412</v>
      </c>
      <c r="U45" s="300"/>
      <c r="V45" s="2264"/>
      <c r="W45" s="2265"/>
      <c r="X45" s="2265"/>
      <c r="Y45" s="2265"/>
      <c r="Z45" s="2265"/>
      <c r="AA45" s="2265"/>
      <c r="AB45" s="2266"/>
      <c r="AC45" s="2264"/>
      <c r="AD45" s="2265"/>
      <c r="AE45" s="2265"/>
      <c r="AF45" s="2265"/>
      <c r="AG45" s="2265"/>
      <c r="AH45" s="2265"/>
      <c r="AI45" s="2265"/>
      <c r="AJ45" s="2266"/>
      <c r="AK45" s="1307" t="s">
        <v>488</v>
      </c>
      <c r="AM45" s="500"/>
      <c r="AN45" s="500" t="str">
        <f>IF(T45="","",T45)</f>
        <v>Группа потребителей</v>
      </c>
      <c r="AO45" s="500"/>
      <c r="AP45" s="500"/>
      <c r="AQ45" s="1155">
        <v>23</v>
      </c>
    </row>
    <row customHeight="1" ht="24">
      <c r="A46" s="1363" t="s">
        <v>236</v>
      </c>
      <c r="B46" s="1363" t="s">
        <v>237</v>
      </c>
      <c r="C46" s="1363" t="s">
        <v>238</v>
      </c>
      <c r="D46" s="1363" t="s">
        <v>499</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66</v>
      </c>
      <c r="AA46" s="2284"/>
      <c r="AB46" s="2126" t="s">
        <v>66</v>
      </c>
      <c r="AC46" s="751"/>
      <c r="AD46" s="751"/>
      <c r="AE46" s="1257"/>
      <c r="AF46" s="2284"/>
      <c r="AG46" s="2126" t="s">
        <v>66</v>
      </c>
      <c r="AH46" s="2306"/>
      <c r="AI46" s="2126" t="s">
        <v>66</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499</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236</v>
      </c>
      <c r="B48" s="1363" t="s">
        <v>237</v>
      </c>
      <c r="C48" s="1363" t="s">
        <v>238</v>
      </c>
      <c r="D48" s="1363" t="s">
        <v>499</v>
      </c>
      <c r="E48" s="2278"/>
      <c r="F48" s="2278"/>
      <c r="G48" s="2278"/>
      <c r="H48" s="2278"/>
      <c r="I48" s="2305"/>
      <c r="J48" s="2275"/>
      <c r="K48" s="1363"/>
      <c r="L48" s="1364"/>
      <c r="P48" s="2276"/>
      <c r="Q48" s="2276"/>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499</v>
      </c>
      <c r="E49" s="2278"/>
      <c r="F49" s="2278"/>
      <c r="G49" s="2278"/>
      <c r="H49" s="2278"/>
      <c r="I49" s="2275"/>
      <c r="J49" s="1363"/>
      <c r="K49" s="1363"/>
      <c r="L49" s="1364"/>
      <c r="P49" s="2276"/>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499</v>
      </c>
      <c r="E50" s="2278"/>
      <c r="F50" s="2278"/>
      <c r="G50" s="2278"/>
      <c r="H50" s="2277"/>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78"/>
      <c r="F51" s="2277"/>
      <c r="G51" s="1314"/>
      <c r="H51" s="1314"/>
      <c r="I51" s="1314"/>
      <c r="J51" s="1314"/>
      <c r="K51" s="1314"/>
      <c r="L51" s="1458"/>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77"/>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5652C-9678-E5FE-C8C8-2A926EE28C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486</v>
      </c>
      <c r="U5" s="300"/>
      <c r="V5" s="2369"/>
      <c r="W5" s="2370"/>
      <c r="X5" s="2370"/>
      <c r="Y5" s="2370"/>
      <c r="Z5" s="2370"/>
      <c r="AA5" s="2370"/>
      <c r="AB5" s="2371"/>
      <c r="AC5" s="2372"/>
      <c r="AD5" s="2373"/>
      <c r="AE5" s="2373"/>
      <c r="AF5" s="2373"/>
      <c r="AG5" s="2373"/>
      <c r="AH5" s="2373"/>
      <c r="AI5" s="2373"/>
      <c r="AJ5" s="2374"/>
      <c r="AK5" s="1258" t="s">
        <v>487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411</v>
      </c>
      <c r="P6" s="2276"/>
      <c r="Q6" s="2276">
        <v>1</v>
      </c>
      <c r="R6" s="357"/>
      <c r="S6" s="1457">
        <f>$J6</f>
      </c>
      <c r="T6" s="286" t="s">
        <v>412</v>
      </c>
      <c r="U6" s="300"/>
      <c r="V6" s="2264"/>
      <c r="W6" s="2265"/>
      <c r="X6" s="2265"/>
      <c r="Y6" s="2265"/>
      <c r="Z6" s="2265"/>
      <c r="AA6" s="2265"/>
      <c r="AB6" s="2266"/>
      <c r="AC6" s="2264"/>
      <c r="AD6" s="2265"/>
      <c r="AE6" s="2265"/>
      <c r="AF6" s="2265"/>
      <c r="AG6" s="2265"/>
      <c r="AH6" s="2265"/>
      <c r="AI6" s="2265"/>
      <c r="AJ6" s="2266"/>
      <c r="AK6" s="1307" t="s">
        <v>488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66</v>
      </c>
      <c r="AA7" s="2284"/>
      <c r="AB7" s="2126" t="s">
        <v>66</v>
      </c>
      <c r="AC7" s="751"/>
      <c r="AD7" s="751"/>
      <c r="AE7" s="1257"/>
      <c r="AF7" s="2284"/>
      <c r="AG7" s="2126" t="s">
        <v>66</v>
      </c>
      <c r="AH7" s="2306"/>
      <c r="AI7" s="2126" t="s">
        <v>66</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66</v>
      </c>
      <c r="AH15" s="2286"/>
      <c r="AI15" s="2287" t="s">
        <v>66</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305</v>
      </c>
      <c r="T36" s="2146"/>
      <c r="U36" s="2146"/>
      <c r="V36" s="2146"/>
      <c r="W36" s="2146"/>
      <c r="X36" s="2146"/>
      <c r="Y36" s="2146"/>
      <c r="Z36" s="2146"/>
      <c r="AA36" s="2146"/>
      <c r="AB36" s="2146"/>
      <c r="AC36" s="2146"/>
      <c r="AD36" s="2146"/>
      <c r="AE36" s="2146"/>
      <c r="AF36" s="2146"/>
      <c r="AG36" s="2146"/>
      <c r="AH36" s="2146"/>
      <c r="AI36" s="2146"/>
      <c r="AJ36" s="2146"/>
      <c r="AK36" s="2146" t="s">
        <v>306</v>
      </c>
      <c r="AQ36" s="1155">
        <v>14</v>
      </c>
    </row>
    <row customHeight="1" ht="14.699999999999998">
      <c r="Q37" s="376"/>
      <c r="R37" s="376"/>
      <c r="S37" s="2292" t="s">
        <v>89</v>
      </c>
      <c r="T37" s="2228" t="s">
        <v>429</v>
      </c>
      <c r="U37" s="301"/>
      <c r="V37" s="2293" t="s">
        <v>430</v>
      </c>
      <c r="W37" s="2294"/>
      <c r="X37" s="2294"/>
      <c r="Y37" s="2294"/>
      <c r="Z37" s="2294"/>
      <c r="AA37" s="2295"/>
      <c r="AB37" s="2296" t="s">
        <v>431</v>
      </c>
      <c r="AC37" s="2293" t="s">
        <v>430</v>
      </c>
      <c r="AD37" s="2294"/>
      <c r="AE37" s="2294"/>
      <c r="AF37" s="2294"/>
      <c r="AG37" s="2294"/>
      <c r="AH37" s="2295"/>
      <c r="AI37" s="2296" t="s">
        <v>432</v>
      </c>
      <c r="AJ37" s="2299" t="s">
        <v>433</v>
      </c>
      <c r="AK37" s="2146"/>
      <c r="AQ37" s="1155">
        <v>14</v>
      </c>
    </row>
    <row customHeight="1" ht="35.699999999999996">
      <c r="Q38" s="376"/>
      <c r="R38" s="376"/>
      <c r="S38" s="2292"/>
      <c r="T38" s="2228"/>
      <c r="U38" s="1031"/>
      <c r="V38" s="1452" t="s">
        <v>492</v>
      </c>
      <c r="W38" s="2281" t="s">
        <v>436</v>
      </c>
      <c r="X38" s="2282"/>
      <c r="Y38" s="2281" t="s">
        <v>437</v>
      </c>
      <c r="Z38" s="2288"/>
      <c r="AA38" s="2282"/>
      <c r="AB38" s="2297"/>
      <c r="AC38" s="1452" t="s">
        <v>492</v>
      </c>
      <c r="AD38" s="2281" t="s">
        <v>436</v>
      </c>
      <c r="AE38" s="2282"/>
      <c r="AF38" s="2281" t="s">
        <v>437</v>
      </c>
      <c r="AG38" s="2288"/>
      <c r="AH38" s="2282"/>
      <c r="AI38" s="2297"/>
      <c r="AJ38" s="2300"/>
      <c r="AK38" s="2146"/>
      <c r="AQ38" s="1155">
        <v>34</v>
      </c>
    </row>
    <row customHeight="1" ht="35.699999999999996">
      <c r="A39" s="1370"/>
      <c r="B39" s="1370" t="s">
        <v>142</v>
      </c>
      <c r="C39" s="1370" t="s">
        <v>143</v>
      </c>
      <c r="D39" s="1370" t="s">
        <v>144</v>
      </c>
      <c r="E39" s="1364" t="s">
        <v>438</v>
      </c>
      <c r="F39" s="1364" t="s">
        <v>439</v>
      </c>
      <c r="G39" s="1364" t="s">
        <v>440</v>
      </c>
      <c r="H39" s="1364"/>
      <c r="I39" s="1364" t="s">
        <v>493</v>
      </c>
      <c r="J39" s="1364" t="s">
        <v>443</v>
      </c>
      <c r="K39" s="1364" t="s">
        <v>494</v>
      </c>
      <c r="L39" s="1364" t="s">
        <v>423</v>
      </c>
      <c r="Q39" s="376"/>
      <c r="R39" s="376"/>
      <c r="S39" s="2292"/>
      <c r="T39" s="2228"/>
      <c r="U39" s="302"/>
      <c r="V39" s="1452" t="s">
        <v>495</v>
      </c>
      <c r="W39" s="1222" t="s">
        <v>496</v>
      </c>
      <c r="X39" s="1222" t="s">
        <v>497</v>
      </c>
      <c r="Y39" s="1455" t="s">
        <v>447</v>
      </c>
      <c r="Z39" s="2289" t="s">
        <v>448</v>
      </c>
      <c r="AA39" s="2290"/>
      <c r="AB39" s="2298"/>
      <c r="AC39" s="1452" t="s">
        <v>495</v>
      </c>
      <c r="AD39" s="1222" t="s">
        <v>496</v>
      </c>
      <c r="AE39" s="1222" t="s">
        <v>497</v>
      </c>
      <c r="AF39" s="1455" t="s">
        <v>447</v>
      </c>
      <c r="AG39" s="2289" t="s">
        <v>448</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500</v>
      </c>
      <c r="E44" s="2278"/>
      <c r="F44" s="2278"/>
      <c r="G44" s="2278"/>
      <c r="H44" s="2278"/>
      <c r="I44" s="2275" t="str">
        <f>S43&amp;".1"</f>
        <v>...1</v>
      </c>
      <c r="J44" s="1363"/>
      <c r="K44" s="1363"/>
      <c r="L44" s="1364"/>
      <c r="P44" s="2276">
        <v>1</v>
      </c>
      <c r="Q44" s="1450"/>
      <c r="R44" s="356"/>
      <c r="S44" s="1457" t="str">
        <f>$I44</f>
        <v>...1</v>
      </c>
      <c r="T44" s="285" t="s">
        <v>486</v>
      </c>
      <c r="U44" s="300"/>
      <c r="V44" s="2369"/>
      <c r="W44" s="2370"/>
      <c r="X44" s="2370"/>
      <c r="Y44" s="2370"/>
      <c r="Z44" s="2370"/>
      <c r="AA44" s="2370"/>
      <c r="AB44" s="2371"/>
      <c r="AC44" s="2372"/>
      <c r="AD44" s="2373"/>
      <c r="AE44" s="2373"/>
      <c r="AF44" s="2373"/>
      <c r="AG44" s="2373"/>
      <c r="AH44" s="2373"/>
      <c r="AI44" s="2373"/>
      <c r="AJ44" s="2374"/>
      <c r="AK44" s="1258" t="s">
        <v>487</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500</v>
      </c>
      <c r="E45" s="2278"/>
      <c r="F45" s="2278"/>
      <c r="G45" s="2278"/>
      <c r="H45" s="2278"/>
      <c r="I45" s="2305"/>
      <c r="J45" s="2275" t="str">
        <f>I44&amp;".1"</f>
        <v>...1.1</v>
      </c>
      <c r="K45" s="1363"/>
      <c r="L45" s="1364" t="s">
        <v>411</v>
      </c>
      <c r="P45" s="2276"/>
      <c r="Q45" s="2276">
        <v>1</v>
      </c>
      <c r="R45" s="357"/>
      <c r="S45" s="1457" t="str">
        <f>$J45</f>
        <v>...1.1</v>
      </c>
      <c r="T45" s="286" t="s">
        <v>412</v>
      </c>
      <c r="U45" s="300"/>
      <c r="V45" s="2264"/>
      <c r="W45" s="2265"/>
      <c r="X45" s="2265"/>
      <c r="Y45" s="2265"/>
      <c r="Z45" s="2265"/>
      <c r="AA45" s="2265"/>
      <c r="AB45" s="2266"/>
      <c r="AC45" s="2264"/>
      <c r="AD45" s="2265"/>
      <c r="AE45" s="2265"/>
      <c r="AF45" s="2265"/>
      <c r="AG45" s="2265"/>
      <c r="AH45" s="2265"/>
      <c r="AI45" s="2265"/>
      <c r="AJ45" s="2266"/>
      <c r="AK45" s="1307" t="s">
        <v>488</v>
      </c>
      <c r="AM45" s="500"/>
      <c r="AN45" s="500" t="str">
        <f>IF(T45="","",T45)</f>
        <v>Группа потребителей</v>
      </c>
      <c r="AO45" s="500"/>
      <c r="AP45" s="500"/>
      <c r="AQ45" s="1155">
        <v>23</v>
      </c>
    </row>
    <row customHeight="1" ht="24">
      <c r="A46" s="1363" t="s">
        <v>241</v>
      </c>
      <c r="B46" s="1363" t="s">
        <v>242</v>
      </c>
      <c r="C46" s="1363" t="s">
        <v>243</v>
      </c>
      <c r="D46" s="1363" t="s">
        <v>500</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66</v>
      </c>
      <c r="AA46" s="2284"/>
      <c r="AB46" s="2126" t="s">
        <v>66</v>
      </c>
      <c r="AC46" s="751"/>
      <c r="AD46" s="751"/>
      <c r="AE46" s="1257"/>
      <c r="AF46" s="2284"/>
      <c r="AG46" s="2126" t="s">
        <v>66</v>
      </c>
      <c r="AH46" s="2306"/>
      <c r="AI46" s="2126" t="s">
        <v>66</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500</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241</v>
      </c>
      <c r="B48" s="1363" t="s">
        <v>242</v>
      </c>
      <c r="C48" s="1363" t="s">
        <v>243</v>
      </c>
      <c r="D48" s="1363" t="s">
        <v>500</v>
      </c>
      <c r="E48" s="2278"/>
      <c r="F48" s="2278"/>
      <c r="G48" s="2278"/>
      <c r="H48" s="2278"/>
      <c r="I48" s="2305"/>
      <c r="J48" s="2275"/>
      <c r="K48" s="1363"/>
      <c r="L48" s="1364"/>
      <c r="P48" s="2276"/>
      <c r="Q48" s="2276"/>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500</v>
      </c>
      <c r="E49" s="2278"/>
      <c r="F49" s="2278"/>
      <c r="G49" s="2278"/>
      <c r="H49" s="2278"/>
      <c r="I49" s="2275"/>
      <c r="J49" s="1363"/>
      <c r="K49" s="1363"/>
      <c r="L49" s="1364"/>
      <c r="P49" s="2276"/>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500</v>
      </c>
      <c r="E50" s="2278"/>
      <c r="F50" s="2278"/>
      <c r="G50" s="2278"/>
      <c r="H50" s="2277"/>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78"/>
      <c r="F51" s="2277"/>
      <c r="G51" s="1314"/>
      <c r="H51" s="1314"/>
      <c r="I51" s="1314"/>
      <c r="J51" s="1314"/>
      <c r="K51" s="1314"/>
      <c r="L51" s="1458"/>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77"/>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CBE38-341D-8358-6D91-296C0EE3AF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402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484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486</v>
      </c>
      <c r="U5" s="300"/>
      <c r="V5" s="2369"/>
      <c r="W5" s="2370"/>
      <c r="X5" s="2370"/>
      <c r="Y5" s="2370"/>
      <c r="Z5" s="2370"/>
      <c r="AA5" s="2370"/>
      <c r="AB5" s="2371"/>
      <c r="AC5" s="2372"/>
      <c r="AD5" s="2373"/>
      <c r="AE5" s="2373"/>
      <c r="AF5" s="2373"/>
      <c r="AG5" s="2373"/>
      <c r="AH5" s="2373"/>
      <c r="AI5" s="2373"/>
      <c r="AJ5" s="2374"/>
      <c r="AK5" s="1258" t="s">
        <v>487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411</v>
      </c>
      <c r="P6" s="2276"/>
      <c r="Q6" s="2276">
        <v>1</v>
      </c>
      <c r="R6" s="357"/>
      <c r="S6" s="1457">
        <f>$J6</f>
      </c>
      <c r="T6" s="286" t="s">
        <v>412</v>
      </c>
      <c r="U6" s="300"/>
      <c r="V6" s="2264"/>
      <c r="W6" s="2265"/>
      <c r="X6" s="2265"/>
      <c r="Y6" s="2265"/>
      <c r="Z6" s="2265"/>
      <c r="AA6" s="2265"/>
      <c r="AB6" s="2266"/>
      <c r="AC6" s="2264"/>
      <c r="AD6" s="2265"/>
      <c r="AE6" s="2265"/>
      <c r="AF6" s="2265"/>
      <c r="AG6" s="2265"/>
      <c r="AH6" s="2265"/>
      <c r="AI6" s="2265"/>
      <c r="AJ6" s="2266"/>
      <c r="AK6" s="1307" t="s">
        <v>488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66</v>
      </c>
      <c r="AA7" s="2284"/>
      <c r="AB7" s="2126" t="s">
        <v>66</v>
      </c>
      <c r="AC7" s="751"/>
      <c r="AD7" s="751"/>
      <c r="AE7" s="1257"/>
      <c r="AF7" s="2284"/>
      <c r="AG7" s="2126" t="s">
        <v>66</v>
      </c>
      <c r="AH7" s="2306"/>
      <c r="AI7" s="2126" t="s">
        <v>66</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66</v>
      </c>
      <c r="AH15" s="2286"/>
      <c r="AI15" s="2287" t="s">
        <v>66</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305</v>
      </c>
      <c r="T36" s="2146"/>
      <c r="U36" s="2146"/>
      <c r="V36" s="2146"/>
      <c r="W36" s="2146"/>
      <c r="X36" s="2146"/>
      <c r="Y36" s="2146"/>
      <c r="Z36" s="2146"/>
      <c r="AA36" s="2146"/>
      <c r="AB36" s="2146"/>
      <c r="AC36" s="2146"/>
      <c r="AD36" s="2146"/>
      <c r="AE36" s="2146"/>
      <c r="AF36" s="2146"/>
      <c r="AG36" s="2146"/>
      <c r="AH36" s="2146"/>
      <c r="AI36" s="2146"/>
      <c r="AJ36" s="2146"/>
      <c r="AK36" s="2146" t="s">
        <v>306</v>
      </c>
      <c r="AQ36" s="1155">
        <v>14</v>
      </c>
    </row>
    <row customHeight="1" ht="14.699999999999998">
      <c r="Q37" s="376"/>
      <c r="R37" s="376"/>
      <c r="S37" s="2292" t="s">
        <v>89</v>
      </c>
      <c r="T37" s="2228" t="s">
        <v>429</v>
      </c>
      <c r="U37" s="301"/>
      <c r="V37" s="2293" t="s">
        <v>430</v>
      </c>
      <c r="W37" s="2294"/>
      <c r="X37" s="2294"/>
      <c r="Y37" s="2294"/>
      <c r="Z37" s="2294"/>
      <c r="AA37" s="2295"/>
      <c r="AB37" s="2296" t="s">
        <v>431</v>
      </c>
      <c r="AC37" s="2293" t="s">
        <v>430</v>
      </c>
      <c r="AD37" s="2294"/>
      <c r="AE37" s="2294"/>
      <c r="AF37" s="2294"/>
      <c r="AG37" s="2294"/>
      <c r="AH37" s="2295"/>
      <c r="AI37" s="2296" t="s">
        <v>432</v>
      </c>
      <c r="AJ37" s="2299" t="s">
        <v>433</v>
      </c>
      <c r="AK37" s="2146"/>
      <c r="AQ37" s="1155">
        <v>14</v>
      </c>
    </row>
    <row customHeight="1" ht="35.699999999999996">
      <c r="Q38" s="376"/>
      <c r="R38" s="376"/>
      <c r="S38" s="2292"/>
      <c r="T38" s="2228"/>
      <c r="U38" s="1031"/>
      <c r="V38" s="1452" t="s">
        <v>492</v>
      </c>
      <c r="W38" s="2281" t="s">
        <v>436</v>
      </c>
      <c r="X38" s="2282"/>
      <c r="Y38" s="2281" t="s">
        <v>437</v>
      </c>
      <c r="Z38" s="2288"/>
      <c r="AA38" s="2282"/>
      <c r="AB38" s="2297"/>
      <c r="AC38" s="1452" t="s">
        <v>492</v>
      </c>
      <c r="AD38" s="2281" t="s">
        <v>436</v>
      </c>
      <c r="AE38" s="2282"/>
      <c r="AF38" s="2281" t="s">
        <v>437</v>
      </c>
      <c r="AG38" s="2288"/>
      <c r="AH38" s="2282"/>
      <c r="AI38" s="2297"/>
      <c r="AJ38" s="2300"/>
      <c r="AK38" s="2146"/>
      <c r="AQ38" s="1155">
        <v>34</v>
      </c>
    </row>
    <row customHeight="1" ht="35.699999999999996">
      <c r="A39" s="1370"/>
      <c r="B39" s="1370" t="s">
        <v>142</v>
      </c>
      <c r="C39" s="1370" t="s">
        <v>143</v>
      </c>
      <c r="D39" s="1370" t="s">
        <v>144</v>
      </c>
      <c r="E39" s="1364" t="s">
        <v>438</v>
      </c>
      <c r="F39" s="1364" t="s">
        <v>439</v>
      </c>
      <c r="G39" s="1364" t="s">
        <v>440</v>
      </c>
      <c r="H39" s="1364"/>
      <c r="I39" s="1364" t="s">
        <v>493</v>
      </c>
      <c r="J39" s="1364" t="s">
        <v>443</v>
      </c>
      <c r="K39" s="1364" t="s">
        <v>494</v>
      </c>
      <c r="L39" s="1364" t="s">
        <v>423</v>
      </c>
      <c r="Q39" s="376"/>
      <c r="R39" s="376"/>
      <c r="S39" s="2292"/>
      <c r="T39" s="2228"/>
      <c r="U39" s="302"/>
      <c r="V39" s="1452" t="s">
        <v>495</v>
      </c>
      <c r="W39" s="1222" t="s">
        <v>496</v>
      </c>
      <c r="X39" s="1222" t="s">
        <v>497</v>
      </c>
      <c r="Y39" s="1455" t="s">
        <v>447</v>
      </c>
      <c r="Z39" s="2289" t="s">
        <v>448</v>
      </c>
      <c r="AA39" s="2290"/>
      <c r="AB39" s="2298"/>
      <c r="AC39" s="1452" t="s">
        <v>495</v>
      </c>
      <c r="AD39" s="1222" t="s">
        <v>496</v>
      </c>
      <c r="AE39" s="1222" t="s">
        <v>497</v>
      </c>
      <c r="AF39" s="1455" t="s">
        <v>447</v>
      </c>
      <c r="AG39" s="2289" t="s">
        <v>448</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501</v>
      </c>
      <c r="E44" s="2278"/>
      <c r="F44" s="2278"/>
      <c r="G44" s="2278"/>
      <c r="H44" s="2278"/>
      <c r="I44" s="2275" t="str">
        <f>S43&amp;".1"</f>
        <v>...1</v>
      </c>
      <c r="J44" s="1363"/>
      <c r="K44" s="1363"/>
      <c r="L44" s="1364"/>
      <c r="P44" s="2276">
        <v>1</v>
      </c>
      <c r="Q44" s="1450"/>
      <c r="R44" s="356"/>
      <c r="S44" s="1457" t="str">
        <f>$I44</f>
        <v>...1</v>
      </c>
      <c r="T44" s="285" t="s">
        <v>486</v>
      </c>
      <c r="U44" s="300"/>
      <c r="V44" s="2369"/>
      <c r="W44" s="2370"/>
      <c r="X44" s="2370"/>
      <c r="Y44" s="2370"/>
      <c r="Z44" s="2370"/>
      <c r="AA44" s="2370"/>
      <c r="AB44" s="2371"/>
      <c r="AC44" s="2372"/>
      <c r="AD44" s="2373"/>
      <c r="AE44" s="2373"/>
      <c r="AF44" s="2373"/>
      <c r="AG44" s="2373"/>
      <c r="AH44" s="2373"/>
      <c r="AI44" s="2373"/>
      <c r="AJ44" s="2374"/>
      <c r="AK44" s="1258" t="s">
        <v>487</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501</v>
      </c>
      <c r="E45" s="2278"/>
      <c r="F45" s="2278"/>
      <c r="G45" s="2278"/>
      <c r="H45" s="2278"/>
      <c r="I45" s="2305"/>
      <c r="J45" s="2275" t="str">
        <f>I44&amp;".1"</f>
        <v>...1.1</v>
      </c>
      <c r="K45" s="1363"/>
      <c r="L45" s="1364" t="s">
        <v>411</v>
      </c>
      <c r="P45" s="2276"/>
      <c r="Q45" s="2276">
        <v>1</v>
      </c>
      <c r="R45" s="357"/>
      <c r="S45" s="1457" t="str">
        <f>$J45</f>
        <v>...1.1</v>
      </c>
      <c r="T45" s="286" t="s">
        <v>412</v>
      </c>
      <c r="U45" s="300"/>
      <c r="V45" s="2264"/>
      <c r="W45" s="2265"/>
      <c r="X45" s="2265"/>
      <c r="Y45" s="2265"/>
      <c r="Z45" s="2265"/>
      <c r="AA45" s="2265"/>
      <c r="AB45" s="2266"/>
      <c r="AC45" s="2264"/>
      <c r="AD45" s="2265"/>
      <c r="AE45" s="2265"/>
      <c r="AF45" s="2265"/>
      <c r="AG45" s="2265"/>
      <c r="AH45" s="2265"/>
      <c r="AI45" s="2265"/>
      <c r="AJ45" s="2266"/>
      <c r="AK45" s="1307" t="s">
        <v>488</v>
      </c>
      <c r="AM45" s="500"/>
      <c r="AN45" s="500" t="str">
        <f>IF(T45="","",T45)</f>
        <v>Группа потребителей</v>
      </c>
      <c r="AO45" s="500"/>
      <c r="AP45" s="500"/>
      <c r="AQ45" s="1155">
        <v>23</v>
      </c>
    </row>
    <row customHeight="1" ht="24">
      <c r="A46" s="1363" t="s">
        <v>246</v>
      </c>
      <c r="B46" s="1363" t="s">
        <v>247</v>
      </c>
      <c r="C46" s="1363" t="s">
        <v>248</v>
      </c>
      <c r="D46" s="1363" t="s">
        <v>501</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66</v>
      </c>
      <c r="AA46" s="2284"/>
      <c r="AB46" s="2126" t="s">
        <v>66</v>
      </c>
      <c r="AC46" s="751"/>
      <c r="AD46" s="751"/>
      <c r="AE46" s="1257"/>
      <c r="AF46" s="2284"/>
      <c r="AG46" s="2126" t="s">
        <v>66</v>
      </c>
      <c r="AH46" s="2306"/>
      <c r="AI46" s="2126" t="s">
        <v>66</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501</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246</v>
      </c>
      <c r="B48" s="1363" t="s">
        <v>247</v>
      </c>
      <c r="C48" s="1363" t="s">
        <v>248</v>
      </c>
      <c r="D48" s="1363" t="s">
        <v>501</v>
      </c>
      <c r="E48" s="2278"/>
      <c r="F48" s="2278"/>
      <c r="G48" s="2278"/>
      <c r="H48" s="2278"/>
      <c r="I48" s="2305"/>
      <c r="J48" s="2275"/>
      <c r="K48" s="1363"/>
      <c r="L48" s="1364"/>
      <c r="P48" s="2276"/>
      <c r="Q48" s="2276"/>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501</v>
      </c>
      <c r="E49" s="2278"/>
      <c r="F49" s="2278"/>
      <c r="G49" s="2278"/>
      <c r="H49" s="2278"/>
      <c r="I49" s="2275"/>
      <c r="J49" s="1363"/>
      <c r="K49" s="1363"/>
      <c r="L49" s="1364"/>
      <c r="P49" s="2276"/>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501</v>
      </c>
      <c r="E50" s="2278"/>
      <c r="F50" s="2278"/>
      <c r="G50" s="2278"/>
      <c r="H50" s="2277"/>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78"/>
      <c r="F51" s="2277"/>
      <c r="G51" s="1314"/>
      <c r="H51" s="1314"/>
      <c r="I51" s="1314"/>
      <c r="J51" s="1314"/>
      <c r="K51" s="1314"/>
      <c r="L51" s="1458"/>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77"/>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3DEC8-5018-D7EC-BDF5-ED8A0D7F29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65">
        <f>INDEX(PT_DIFFERENTIATION_NUM_NTAR,MATCH(A2,PT_DIFFERENTIATION_NTAR_ID,0))</f>
      </c>
      <c r="T2" s="298" t="s">
        <v>130</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65">
        <f>INDEX(PT_DIFFERENTIATION_NUM_TER,MATCH(B3,PT_DIFFERENTIATION_TER_ID,0))</f>
      </c>
      <c r="T3" s="308" t="s">
        <v>402</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403</v>
      </c>
      <c r="BE3" s="500"/>
      <c r="BF3" s="500" t="str">
        <f>IF(T3="","",T3)</f>
        <v>Территория действия тарифа</v>
      </c>
      <c r="BG3" s="500"/>
      <c r="BH3" s="500"/>
      <c r="BI3" s="1155">
        <v>0</v>
      </c>
    </row>
    <row customHeight="1" ht="42" hidden="1">
      <c r="A4" s="1363"/>
      <c r="B4" s="1363"/>
      <c r="C4" s="1363"/>
      <c r="D4" s="1363"/>
      <c r="E4" s="2278"/>
      <c r="F4" s="2278"/>
      <c r="G4" s="2277">
        <v>1</v>
      </c>
      <c r="H4" s="1363"/>
      <c r="I4" s="1363"/>
      <c r="J4" s="1363"/>
      <c r="K4" s="1363"/>
      <c r="L4" s="1364"/>
      <c r="M4" s="1365"/>
      <c r="N4" s="1365"/>
      <c r="O4" s="1365"/>
      <c r="P4" s="1412"/>
      <c r="Q4" s="1411"/>
      <c r="R4" s="353"/>
      <c r="S4" s="1465">
        <f>INDEX(PT_DIFFERENTIATION_NUM_CS,MATCH(C4,PT_DIFFERENTIATION_CS_ID,0))</f>
      </c>
      <c r="T4" s="309" t="s">
        <v>484</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407</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408</v>
      </c>
      <c r="M6" s="510"/>
      <c r="N6" s="510"/>
      <c r="O6" s="510"/>
      <c r="P6" s="2276">
        <v>1</v>
      </c>
      <c r="Q6" s="1462"/>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59" t="s">
        <v>66</v>
      </c>
      <c r="AB8" s="1733"/>
      <c r="AC8" s="1459" t="s">
        <v>66</v>
      </c>
      <c r="AD8" s="2204" t="s">
        <v>66</v>
      </c>
      <c r="AE8" s="2345"/>
      <c r="AF8" s="2224">
        <v>1</v>
      </c>
      <c r="AG8" s="2382"/>
      <c r="AH8" s="2126" t="s">
        <v>66</v>
      </c>
      <c r="AI8" s="2345"/>
      <c r="AJ8" s="2224">
        <v>1</v>
      </c>
      <c r="AK8" s="2346" t="s">
        <v>22</v>
      </c>
      <c r="AL8" s="2126" t="s">
        <v>66</v>
      </c>
      <c r="AM8" s="2211"/>
      <c r="AN8" s="2224">
        <v>1</v>
      </c>
      <c r="AO8" s="2376"/>
      <c r="AP8" s="2377" t="s">
        <v>66</v>
      </c>
      <c r="AQ8" s="311"/>
      <c r="AR8" s="1463">
        <v>1</v>
      </c>
      <c r="AS8" s="1466" t="s">
        <v>22</v>
      </c>
      <c r="AT8" s="751"/>
      <c r="AU8" s="1257"/>
      <c r="AV8" s="751"/>
      <c r="AW8" s="1257"/>
      <c r="AX8" s="1733"/>
      <c r="AY8" s="1459" t="s">
        <v>66</v>
      </c>
      <c r="AZ8" s="1733"/>
      <c r="BA8" s="1459" t="s">
        <v>66</v>
      </c>
      <c r="BB8" s="1348"/>
      <c r="BC8" s="2272" t="s">
        <v>502</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503</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504</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64"/>
      <c r="M17" s="1321"/>
      <c r="N17" s="1321"/>
      <c r="P17" s="1316"/>
      <c r="Q17" s="1317"/>
      <c r="R17" s="1316"/>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421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66</v>
      </c>
      <c r="AZ20" s="1735"/>
      <c r="BA20" s="1460" t="s">
        <v>66</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470</v>
      </c>
      <c r="AH24" s="1507" t="s">
        <v>470</v>
      </c>
      <c r="AK24" s="1507" t="s">
        <v>507</v>
      </c>
      <c r="AL24" s="1507" t="s">
        <v>470</v>
      </c>
      <c r="AP24" s="1507" t="s">
        <v>470</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
        <v>42</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
        <v>508</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509</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
        <v>508</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
        <v>509</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305</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306</v>
      </c>
      <c r="BI40" s="1155">
        <v>14</v>
      </c>
    </row>
    <row customHeight="1" ht="14.699999999999998">
      <c r="Q41" s="291"/>
      <c r="R41" s="376"/>
      <c r="S41" s="2292" t="s">
        <v>89</v>
      </c>
      <c r="T41" s="2228" t="s">
        <v>510</v>
      </c>
      <c r="U41" s="301"/>
      <c r="V41" s="2293" t="s">
        <v>430</v>
      </c>
      <c r="W41" s="2294"/>
      <c r="X41" s="2294"/>
      <c r="Y41" s="2294"/>
      <c r="Z41" s="2294"/>
      <c r="AA41" s="2294"/>
      <c r="AB41" s="2295"/>
      <c r="AC41" s="2296" t="s">
        <v>431</v>
      </c>
      <c r="AD41" s="2347" t="s">
        <v>511</v>
      </c>
      <c r="AE41" s="2310"/>
      <c r="AF41" s="2310"/>
      <c r="AG41" s="2348"/>
      <c r="AH41" s="2347" t="s">
        <v>512</v>
      </c>
      <c r="AI41" s="2310"/>
      <c r="AJ41" s="2310"/>
      <c r="AK41" s="2348"/>
      <c r="AL41" s="2347" t="s">
        <v>513</v>
      </c>
      <c r="AM41" s="2310"/>
      <c r="AN41" s="2310"/>
      <c r="AO41" s="2348"/>
      <c r="AP41" s="2347" t="s">
        <v>514</v>
      </c>
      <c r="AQ41" s="2310"/>
      <c r="AR41" s="2310"/>
      <c r="AS41" s="2348"/>
      <c r="AT41" s="2293" t="s">
        <v>430</v>
      </c>
      <c r="AU41" s="2294"/>
      <c r="AV41" s="2294"/>
      <c r="AW41" s="2294"/>
      <c r="AX41" s="2294"/>
      <c r="AY41" s="2294"/>
      <c r="AZ41" s="2295"/>
      <c r="BA41" s="2296" t="s">
        <v>431</v>
      </c>
      <c r="BB41" s="2299" t="s">
        <v>433</v>
      </c>
      <c r="BC41" s="2146"/>
      <c r="BI41" s="1155">
        <v>14</v>
      </c>
    </row>
    <row customHeight="1" ht="35.699999999999996">
      <c r="Q42" s="291"/>
      <c r="R42" s="376"/>
      <c r="S42" s="2292"/>
      <c r="T42" s="2228"/>
      <c r="U42" s="1031"/>
      <c r="V42" s="2211" t="s">
        <v>515</v>
      </c>
      <c r="W42" s="2212"/>
      <c r="X42" s="2211" t="s">
        <v>516</v>
      </c>
      <c r="Y42" s="2212"/>
      <c r="Z42" s="2313" t="s">
        <v>517</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515</v>
      </c>
      <c r="AU42" s="2212"/>
      <c r="AV42" s="2211" t="s">
        <v>516</v>
      </c>
      <c r="AW42" s="2212"/>
      <c r="AX42" s="2313" t="s">
        <v>517</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142</v>
      </c>
      <c r="C44" s="1370" t="s">
        <v>143</v>
      </c>
      <c r="D44" s="1370" t="s">
        <v>144</v>
      </c>
      <c r="E44" s="1364" t="s">
        <v>438</v>
      </c>
      <c r="F44" s="1364" t="s">
        <v>439</v>
      </c>
      <c r="G44" s="1364" t="s">
        <v>440</v>
      </c>
      <c r="H44" s="1364" t="s">
        <v>441</v>
      </c>
      <c r="I44" s="1364" t="s">
        <v>442</v>
      </c>
      <c r="J44" s="1364" t="s">
        <v>443</v>
      </c>
      <c r="K44" s="1364" t="s">
        <v>444</v>
      </c>
      <c r="L44" s="1364" t="s">
        <v>423</v>
      </c>
      <c r="Q44" s="291"/>
      <c r="R44" s="376"/>
      <c r="S44" s="2292"/>
      <c r="T44" s="2228"/>
      <c r="U44" s="302"/>
      <c r="V44" s="1448" t="s">
        <v>479</v>
      </c>
      <c r="W44" s="1448" t="s">
        <v>480</v>
      </c>
      <c r="X44" s="1448" t="s">
        <v>479</v>
      </c>
      <c r="Y44" s="1448" t="s">
        <v>480</v>
      </c>
      <c r="Z44" s="1455" t="s">
        <v>447</v>
      </c>
      <c r="AA44" s="2289" t="s">
        <v>448</v>
      </c>
      <c r="AB44" s="2290"/>
      <c r="AC44" s="2298"/>
      <c r="AD44" s="2352"/>
      <c r="AE44" s="2353"/>
      <c r="AF44" s="2353"/>
      <c r="AG44" s="2354"/>
      <c r="AH44" s="2352"/>
      <c r="AI44" s="2353"/>
      <c r="AJ44" s="2353"/>
      <c r="AK44" s="2354"/>
      <c r="AL44" s="2352"/>
      <c r="AM44" s="2353"/>
      <c r="AN44" s="2353"/>
      <c r="AO44" s="2354"/>
      <c r="AP44" s="2352"/>
      <c r="AQ44" s="2353"/>
      <c r="AR44" s="2353"/>
      <c r="AS44" s="2354"/>
      <c r="AT44" s="1448" t="s">
        <v>479</v>
      </c>
      <c r="AU44" s="1448" t="s">
        <v>480</v>
      </c>
      <c r="AV44" s="1448" t="s">
        <v>479</v>
      </c>
      <c r="AW44" s="1448" t="s">
        <v>480</v>
      </c>
      <c r="AX44" s="1455" t="s">
        <v>447</v>
      </c>
      <c r="AY44" s="2289" t="s">
        <v>448</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77">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130</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78"/>
      <c r="F47" s="2277">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78"/>
      <c r="F48" s="2278"/>
      <c r="G48" s="2277">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518</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407</v>
      </c>
      <c r="BE49" s="500"/>
      <c r="BF49" s="500" t="str">
        <f>IF(T49="","",T49)</f>
        <v/>
      </c>
      <c r="BG49" s="500"/>
      <c r="BH49" s="500"/>
      <c r="BI49" s="511">
        <v>0</v>
      </c>
    </row>
    <row s="1642" customFormat="1" customHeight="1" ht="0">
      <c r="A50" s="1343" t="s">
        <v>251</v>
      </c>
      <c r="B50" s="1343" t="s">
        <v>252</v>
      </c>
      <c r="C50" s="1343" t="s">
        <v>253</v>
      </c>
      <c r="D50" s="1343" t="s">
        <v>518</v>
      </c>
      <c r="E50" s="2278"/>
      <c r="F50" s="2278"/>
      <c r="G50" s="2278"/>
      <c r="H50" s="2278"/>
      <c r="I50" s="2275" t="str">
        <f>S49&amp;".1"</f>
        <v>.1</v>
      </c>
      <c r="J50" s="1343"/>
      <c r="K50" s="1343"/>
      <c r="L50" s="1346" t="s">
        <v>408</v>
      </c>
      <c r="M50" s="510"/>
      <c r="N50" s="510"/>
      <c r="O50" s="510"/>
      <c r="P50" s="2276">
        <v>1</v>
      </c>
      <c r="Q50" s="1462"/>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251</v>
      </c>
      <c r="B51" s="1343" t="s">
        <v>252</v>
      </c>
      <c r="C51" s="1343" t="s">
        <v>253</v>
      </c>
      <c r="D51" s="1343" t="s">
        <v>518</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251</v>
      </c>
      <c r="B52" s="1363" t="s">
        <v>252</v>
      </c>
      <c r="C52" s="1363" t="s">
        <v>253</v>
      </c>
      <c r="D52" s="1363" t="s">
        <v>518</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59" t="s">
        <v>66</v>
      </c>
      <c r="AB52" s="1733"/>
      <c r="AC52" s="1459" t="s">
        <v>66</v>
      </c>
      <c r="AD52" s="2204" t="s">
        <v>66</v>
      </c>
      <c r="AE52" s="2345"/>
      <c r="AF52" s="2224">
        <v>1</v>
      </c>
      <c r="AG52" s="2382"/>
      <c r="AH52" s="2126" t="s">
        <v>66</v>
      </c>
      <c r="AI52" s="2345"/>
      <c r="AJ52" s="2224">
        <v>1</v>
      </c>
      <c r="AK52" s="2346" t="s">
        <v>22</v>
      </c>
      <c r="AL52" s="2126" t="s">
        <v>66</v>
      </c>
      <c r="AM52" s="2211"/>
      <c r="AN52" s="2224">
        <v>1</v>
      </c>
      <c r="AO52" s="2376"/>
      <c r="AP52" s="2377" t="s">
        <v>66</v>
      </c>
      <c r="AQ52" s="311"/>
      <c r="AR52" s="1463">
        <v>1</v>
      </c>
      <c r="AS52" s="1466" t="s">
        <v>22</v>
      </c>
      <c r="AT52" s="751"/>
      <c r="AU52" s="1257"/>
      <c r="AV52" s="751"/>
      <c r="AW52" s="1257"/>
      <c r="AX52" s="1733"/>
      <c r="AY52" s="1459" t="s">
        <v>66</v>
      </c>
      <c r="AZ52" s="1733"/>
      <c r="BA52" s="1459" t="s">
        <v>66</v>
      </c>
      <c r="BB52" s="1348"/>
      <c r="BC52" s="2272" t="s">
        <v>502</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503</v>
      </c>
      <c r="AT53" s="1393"/>
      <c r="AU53" s="1496"/>
      <c r="AV53" s="1393"/>
      <c r="AW53" s="1496"/>
      <c r="AX53" s="1393"/>
      <c r="AY53" s="1393"/>
      <c r="AZ53" s="1393"/>
      <c r="BA53" s="1393"/>
      <c r="BB53" s="1397"/>
      <c r="BC53" s="2273"/>
      <c r="BE53" s="500"/>
      <c r="BF53" s="500"/>
      <c r="BG53" s="500"/>
      <c r="BH53" s="500"/>
      <c r="BI53" s="1155">
        <v>11</v>
      </c>
    </row>
    <row customHeight="1" ht="11.549999999999999">
      <c r="A54" s="1363" t="s">
        <v>251</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504</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251</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251</v>
      </c>
      <c r="B56" s="1363" t="s">
        <v>252</v>
      </c>
      <c r="C56" s="1363" t="s">
        <v>253</v>
      </c>
      <c r="D56" s="1363" t="s">
        <v>518</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251</v>
      </c>
      <c r="B57" s="1363" t="s">
        <v>252</v>
      </c>
      <c r="C57" s="1363" t="s">
        <v>253</v>
      </c>
      <c r="D57" s="1363" t="s">
        <v>518</v>
      </c>
      <c r="E57" s="2278"/>
      <c r="F57" s="2278"/>
      <c r="G57" s="2278"/>
      <c r="H57" s="2278"/>
      <c r="I57" s="2305"/>
      <c r="J57" s="2275"/>
      <c r="K57" s="1363"/>
      <c r="L57" s="1364"/>
      <c r="P57" s="2276"/>
      <c r="Q57" s="2276"/>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251</v>
      </c>
      <c r="B58" s="1343" t="s">
        <v>252</v>
      </c>
      <c r="C58" s="1343" t="s">
        <v>253</v>
      </c>
      <c r="D58" s="1343" t="s">
        <v>518</v>
      </c>
      <c r="E58" s="2278"/>
      <c r="F58" s="2278"/>
      <c r="G58" s="2278"/>
      <c r="H58" s="2278"/>
      <c r="I58" s="2275"/>
      <c r="J58" s="1343"/>
      <c r="K58" s="1343"/>
      <c r="L58" s="1346"/>
      <c r="M58" s="510"/>
      <c r="N58" s="510"/>
      <c r="O58" s="510"/>
      <c r="P58" s="2276"/>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518</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78"/>
      <c r="F60" s="2278"/>
      <c r="G60" s="2277"/>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78"/>
      <c r="F61" s="2277"/>
      <c r="G61" s="1314"/>
      <c r="H61" s="1314"/>
      <c r="I61" s="1314"/>
      <c r="J61" s="1314"/>
      <c r="K61" s="1314"/>
      <c r="L61" s="1464"/>
      <c r="M61" s="1321"/>
      <c r="N61" s="1321"/>
      <c r="P61" s="1316"/>
      <c r="Q61" s="1317"/>
      <c r="R61" s="1316"/>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77"/>
      <c r="F62" s="1343"/>
      <c r="G62" s="1343"/>
      <c r="H62" s="1343"/>
      <c r="I62" s="1343"/>
      <c r="J62" s="1343"/>
      <c r="K62" s="1343"/>
      <c r="L62" s="1346"/>
      <c r="M62" s="1321"/>
      <c r="N62" s="1321"/>
      <c r="O62" s="518"/>
      <c r="P62" s="380"/>
      <c r="Q62" s="1344"/>
      <c r="R62" s="380"/>
      <c r="S62" s="1322"/>
      <c r="T62" s="1325" t="s">
        <v>421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43D68-A657-5F48-0CBE-103F080FFD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519</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486</v>
      </c>
      <c r="U5" s="300"/>
      <c r="V5" s="2369"/>
      <c r="W5" s="2370"/>
      <c r="X5" s="2370"/>
      <c r="Y5" s="2370"/>
      <c r="Z5" s="2370"/>
      <c r="AA5" s="2370"/>
      <c r="AB5" s="2371"/>
      <c r="AC5" s="2372"/>
      <c r="AD5" s="2373"/>
      <c r="AE5" s="2373"/>
      <c r="AF5" s="2373"/>
      <c r="AG5" s="2373"/>
      <c r="AH5" s="2373"/>
      <c r="AI5" s="2373"/>
      <c r="AJ5" s="2374"/>
      <c r="AK5" s="1258" t="s">
        <v>487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411</v>
      </c>
      <c r="P6" s="2276"/>
      <c r="Q6" s="2276">
        <v>1</v>
      </c>
      <c r="R6" s="357"/>
      <c r="S6" s="1493">
        <f>$J6</f>
      </c>
      <c r="T6" s="286" t="s">
        <v>412</v>
      </c>
      <c r="U6" s="300"/>
      <c r="V6" s="2264"/>
      <c r="W6" s="2265"/>
      <c r="X6" s="2265"/>
      <c r="Y6" s="2265"/>
      <c r="Z6" s="2265"/>
      <c r="AA6" s="2265"/>
      <c r="AB6" s="2266"/>
      <c r="AC6" s="2264"/>
      <c r="AD6" s="2265"/>
      <c r="AE6" s="2265"/>
      <c r="AF6" s="2265"/>
      <c r="AG6" s="2265"/>
      <c r="AH6" s="2265"/>
      <c r="AI6" s="2265"/>
      <c r="AJ6" s="2266"/>
      <c r="AK6" s="1307" t="s">
        <v>488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66</v>
      </c>
      <c r="AA7" s="2284"/>
      <c r="AB7" s="2126" t="s">
        <v>66</v>
      </c>
      <c r="AC7" s="751"/>
      <c r="AD7" s="751"/>
      <c r="AE7" s="1257"/>
      <c r="AF7" s="2284"/>
      <c r="AG7" s="2126" t="s">
        <v>66</v>
      </c>
      <c r="AH7" s="2306"/>
      <c r="AI7" s="2126" t="s">
        <v>66</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66</v>
      </c>
      <c r="AH15" s="2286"/>
      <c r="AI15" s="2287" t="s">
        <v>66</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305</v>
      </c>
      <c r="T36" s="2146"/>
      <c r="U36" s="2146"/>
      <c r="V36" s="2146"/>
      <c r="W36" s="2146"/>
      <c r="X36" s="2146"/>
      <c r="Y36" s="2146"/>
      <c r="Z36" s="2146"/>
      <c r="AA36" s="2146"/>
      <c r="AB36" s="2146"/>
      <c r="AC36" s="2146"/>
      <c r="AD36" s="2146"/>
      <c r="AE36" s="2146"/>
      <c r="AF36" s="2146"/>
      <c r="AG36" s="2146"/>
      <c r="AH36" s="2146"/>
      <c r="AI36" s="2146"/>
      <c r="AJ36" s="2146"/>
      <c r="AK36" s="2146" t="s">
        <v>306</v>
      </c>
      <c r="AQ36" s="1155">
        <v>14</v>
      </c>
    </row>
    <row customHeight="1" ht="14.699999999999998">
      <c r="Q37" s="376"/>
      <c r="R37" s="376"/>
      <c r="S37" s="2292" t="s">
        <v>89</v>
      </c>
      <c r="T37" s="2228" t="s">
        <v>429</v>
      </c>
      <c r="U37" s="301"/>
      <c r="V37" s="2293" t="s">
        <v>430</v>
      </c>
      <c r="W37" s="2294"/>
      <c r="X37" s="2294"/>
      <c r="Y37" s="2294"/>
      <c r="Z37" s="2294"/>
      <c r="AA37" s="2295"/>
      <c r="AB37" s="2296" t="s">
        <v>431</v>
      </c>
      <c r="AC37" s="2293" t="s">
        <v>430</v>
      </c>
      <c r="AD37" s="2294"/>
      <c r="AE37" s="2294"/>
      <c r="AF37" s="2294"/>
      <c r="AG37" s="2294"/>
      <c r="AH37" s="2295"/>
      <c r="AI37" s="2296" t="s">
        <v>432</v>
      </c>
      <c r="AJ37" s="2299" t="s">
        <v>433</v>
      </c>
      <c r="AK37" s="2146"/>
      <c r="AQ37" s="1155">
        <v>14</v>
      </c>
    </row>
    <row customHeight="1" ht="35.699999999999996">
      <c r="Q38" s="376"/>
      <c r="R38" s="376"/>
      <c r="S38" s="2292"/>
      <c r="T38" s="2228"/>
      <c r="U38" s="1031"/>
      <c r="V38" s="1483" t="s">
        <v>492</v>
      </c>
      <c r="W38" s="2281" t="s">
        <v>436</v>
      </c>
      <c r="X38" s="2282"/>
      <c r="Y38" s="2281" t="s">
        <v>437</v>
      </c>
      <c r="Z38" s="2288"/>
      <c r="AA38" s="2282"/>
      <c r="AB38" s="2297"/>
      <c r="AC38" s="1483" t="s">
        <v>492</v>
      </c>
      <c r="AD38" s="2281" t="s">
        <v>436</v>
      </c>
      <c r="AE38" s="2282"/>
      <c r="AF38" s="2281" t="s">
        <v>437</v>
      </c>
      <c r="AG38" s="2288"/>
      <c r="AH38" s="2282"/>
      <c r="AI38" s="2297"/>
      <c r="AJ38" s="2300"/>
      <c r="AK38" s="2146"/>
      <c r="AQ38" s="1155">
        <v>34</v>
      </c>
    </row>
    <row customHeight="1" ht="90.3">
      <c r="A39" s="1370"/>
      <c r="B39" s="1370" t="s">
        <v>142</v>
      </c>
      <c r="C39" s="1370" t="s">
        <v>143</v>
      </c>
      <c r="D39" s="1370" t="s">
        <v>144</v>
      </c>
      <c r="E39" s="1364" t="s">
        <v>438</v>
      </c>
      <c r="F39" s="1364" t="s">
        <v>439</v>
      </c>
      <c r="G39" s="1364" t="s">
        <v>440</v>
      </c>
      <c r="H39" s="1364"/>
      <c r="I39" s="1364" t="s">
        <v>493</v>
      </c>
      <c r="J39" s="1364" t="s">
        <v>443</v>
      </c>
      <c r="K39" s="1364" t="s">
        <v>494</v>
      </c>
      <c r="L39" s="1364" t="s">
        <v>423</v>
      </c>
      <c r="Q39" s="376"/>
      <c r="R39" s="376"/>
      <c r="S39" s="2292"/>
      <c r="T39" s="2228"/>
      <c r="U39" s="302"/>
      <c r="V39" s="1483" t="s">
        <v>521</v>
      </c>
      <c r="W39" s="1222" t="s">
        <v>522</v>
      </c>
      <c r="X39" s="1222" t="s">
        <v>497</v>
      </c>
      <c r="Y39" s="1489" t="s">
        <v>447</v>
      </c>
      <c r="Z39" s="2289" t="s">
        <v>448</v>
      </c>
      <c r="AA39" s="2290"/>
      <c r="AB39" s="2298"/>
      <c r="AC39" s="1483" t="s">
        <v>521</v>
      </c>
      <c r="AD39" s="1222" t="s">
        <v>522</v>
      </c>
      <c r="AE39" s="1222" t="s">
        <v>497</v>
      </c>
      <c r="AF39" s="1489" t="s">
        <v>447</v>
      </c>
      <c r="AG39" s="2289" t="s">
        <v>448</v>
      </c>
      <c r="AH39" s="2290"/>
      <c r="AI39" s="2298"/>
      <c r="AJ39" s="2301"/>
      <c r="AK39" s="2146"/>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520</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523</v>
      </c>
      <c r="E44" s="2278"/>
      <c r="F44" s="2278"/>
      <c r="G44" s="2278"/>
      <c r="H44" s="2278"/>
      <c r="I44" s="2275" t="str">
        <f>S43&amp;".1"</f>
        <v>...1</v>
      </c>
      <c r="J44" s="1363"/>
      <c r="K44" s="1363"/>
      <c r="L44" s="1364"/>
      <c r="P44" s="2276">
        <v>1</v>
      </c>
      <c r="Q44" s="1481"/>
      <c r="R44" s="356"/>
      <c r="S44" s="1493" t="str">
        <f>$I44</f>
        <v>...1</v>
      </c>
      <c r="T44" s="285" t="s">
        <v>486</v>
      </c>
      <c r="U44" s="300"/>
      <c r="V44" s="2369"/>
      <c r="W44" s="2370"/>
      <c r="X44" s="2370"/>
      <c r="Y44" s="2370"/>
      <c r="Z44" s="2370"/>
      <c r="AA44" s="2370"/>
      <c r="AB44" s="2371"/>
      <c r="AC44" s="2372"/>
      <c r="AD44" s="2373"/>
      <c r="AE44" s="2373"/>
      <c r="AF44" s="2373"/>
      <c r="AG44" s="2373"/>
      <c r="AH44" s="2373"/>
      <c r="AI44" s="2373"/>
      <c r="AJ44" s="2374"/>
      <c r="AK44" s="1258" t="s">
        <v>487</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523</v>
      </c>
      <c r="E45" s="2278"/>
      <c r="F45" s="2278"/>
      <c r="G45" s="2278"/>
      <c r="H45" s="2278"/>
      <c r="I45" s="2305"/>
      <c r="J45" s="2275" t="str">
        <f>I44&amp;".1"</f>
        <v>...1.1</v>
      </c>
      <c r="K45" s="1363"/>
      <c r="L45" s="1364" t="s">
        <v>411</v>
      </c>
      <c r="P45" s="2276"/>
      <c r="Q45" s="2276">
        <v>1</v>
      </c>
      <c r="R45" s="357"/>
      <c r="S45" s="1493" t="str">
        <f>$J45</f>
        <v>...1.1</v>
      </c>
      <c r="T45" s="286" t="s">
        <v>412</v>
      </c>
      <c r="U45" s="300"/>
      <c r="V45" s="2264"/>
      <c r="W45" s="2265"/>
      <c r="X45" s="2265"/>
      <c r="Y45" s="2265"/>
      <c r="Z45" s="2265"/>
      <c r="AA45" s="2265"/>
      <c r="AB45" s="2266"/>
      <c r="AC45" s="2264"/>
      <c r="AD45" s="2265"/>
      <c r="AE45" s="2265"/>
      <c r="AF45" s="2265"/>
      <c r="AG45" s="2265"/>
      <c r="AH45" s="2265"/>
      <c r="AI45" s="2265"/>
      <c r="AJ45" s="2266"/>
      <c r="AK45" s="1307" t="s">
        <v>488</v>
      </c>
      <c r="AM45" s="500"/>
      <c r="AN45" s="500" t="str">
        <f>IF(T45="","",T45)</f>
        <v>Группа потребителей</v>
      </c>
      <c r="AO45" s="500"/>
      <c r="AP45" s="500"/>
      <c r="AQ45" s="1155">
        <v>23</v>
      </c>
    </row>
    <row customHeight="1" ht="24">
      <c r="A46" s="1363" t="s">
        <v>271</v>
      </c>
      <c r="B46" s="1363" t="s">
        <v>272</v>
      </c>
      <c r="C46" s="1363" t="s">
        <v>273</v>
      </c>
      <c r="D46" s="1363" t="s">
        <v>523</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66</v>
      </c>
      <c r="AA46" s="2286"/>
      <c r="AB46" s="2287" t="s">
        <v>66</v>
      </c>
      <c r="AC46" s="751"/>
      <c r="AD46" s="751"/>
      <c r="AE46" s="1257"/>
      <c r="AF46" s="2284"/>
      <c r="AG46" s="2126" t="s">
        <v>66</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523</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271</v>
      </c>
      <c r="B48" s="1363" t="s">
        <v>272</v>
      </c>
      <c r="C48" s="1363" t="s">
        <v>273</v>
      </c>
      <c r="D48" s="1363" t="s">
        <v>523</v>
      </c>
      <c r="E48" s="2278"/>
      <c r="F48" s="2278"/>
      <c r="G48" s="2278"/>
      <c r="H48" s="2278"/>
      <c r="I48" s="2305"/>
      <c r="J48" s="2275"/>
      <c r="K48" s="1363"/>
      <c r="L48" s="1364"/>
      <c r="P48" s="2276"/>
      <c r="Q48" s="2276"/>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523</v>
      </c>
      <c r="E49" s="2278"/>
      <c r="F49" s="2278"/>
      <c r="G49" s="2278"/>
      <c r="H49" s="2278"/>
      <c r="I49" s="2275"/>
      <c r="J49" s="1363"/>
      <c r="K49" s="1363"/>
      <c r="L49" s="1364"/>
      <c r="P49" s="2276"/>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523</v>
      </c>
      <c r="E50" s="2278"/>
      <c r="F50" s="2278"/>
      <c r="G50" s="2278"/>
      <c r="H50" s="2277"/>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78"/>
      <c r="F51" s="2277"/>
      <c r="G51" s="1314"/>
      <c r="H51" s="1314"/>
      <c r="I51" s="1314"/>
      <c r="J51" s="1314"/>
      <c r="K51" s="1314"/>
      <c r="L51" s="1494"/>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77"/>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95036-1736-A9B1-E70F-A63C8D081E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403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519</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486</v>
      </c>
      <c r="U5" s="300"/>
      <c r="V5" s="2369"/>
      <c r="W5" s="2370"/>
      <c r="X5" s="2370"/>
      <c r="Y5" s="2370"/>
      <c r="Z5" s="2370"/>
      <c r="AA5" s="2370"/>
      <c r="AB5" s="2371"/>
      <c r="AC5" s="2372"/>
      <c r="AD5" s="2373"/>
      <c r="AE5" s="2373"/>
      <c r="AF5" s="2373"/>
      <c r="AG5" s="2373"/>
      <c r="AH5" s="2373"/>
      <c r="AI5" s="2373"/>
      <c r="AJ5" s="2374"/>
      <c r="AK5" s="1258" t="s">
        <v>487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411</v>
      </c>
      <c r="P6" s="2276"/>
      <c r="Q6" s="2276">
        <v>1</v>
      </c>
      <c r="R6" s="357"/>
      <c r="S6" s="1493">
        <f>$J6</f>
      </c>
      <c r="T6" s="286" t="s">
        <v>412</v>
      </c>
      <c r="U6" s="300"/>
      <c r="V6" s="2264"/>
      <c r="W6" s="2265"/>
      <c r="X6" s="2265"/>
      <c r="Y6" s="2265"/>
      <c r="Z6" s="2265"/>
      <c r="AA6" s="2265"/>
      <c r="AB6" s="2266"/>
      <c r="AC6" s="2264"/>
      <c r="AD6" s="2265"/>
      <c r="AE6" s="2265"/>
      <c r="AF6" s="2265"/>
      <c r="AG6" s="2265"/>
      <c r="AH6" s="2265"/>
      <c r="AI6" s="2265"/>
      <c r="AJ6" s="2266"/>
      <c r="AK6" s="1307" t="s">
        <v>488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66</v>
      </c>
      <c r="AA7" s="2284"/>
      <c r="AB7" s="2126" t="s">
        <v>66</v>
      </c>
      <c r="AC7" s="751"/>
      <c r="AD7" s="751"/>
      <c r="AE7" s="1257"/>
      <c r="AF7" s="2284"/>
      <c r="AG7" s="2126" t="s">
        <v>66</v>
      </c>
      <c r="AH7" s="2306"/>
      <c r="AI7" s="2126" t="s">
        <v>66</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66</v>
      </c>
      <c r="AH15" s="2286"/>
      <c r="AI15" s="2287" t="s">
        <v>66</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305</v>
      </c>
      <c r="T36" s="2146"/>
      <c r="U36" s="2146"/>
      <c r="V36" s="2146"/>
      <c r="W36" s="2146"/>
      <c r="X36" s="2146"/>
      <c r="Y36" s="2146"/>
      <c r="Z36" s="2146"/>
      <c r="AA36" s="2146"/>
      <c r="AB36" s="2146"/>
      <c r="AC36" s="2146"/>
      <c r="AD36" s="2146"/>
      <c r="AE36" s="2146"/>
      <c r="AF36" s="2146"/>
      <c r="AG36" s="2146"/>
      <c r="AH36" s="2146"/>
      <c r="AI36" s="2146"/>
      <c r="AJ36" s="2146"/>
      <c r="AK36" s="2146" t="s">
        <v>306</v>
      </c>
      <c r="AQ36" s="1155">
        <v>14</v>
      </c>
    </row>
    <row customHeight="1" ht="14.699999999999998">
      <c r="Q37" s="376"/>
      <c r="R37" s="376"/>
      <c r="S37" s="2292" t="s">
        <v>89</v>
      </c>
      <c r="T37" s="2228" t="s">
        <v>429</v>
      </c>
      <c r="U37" s="301"/>
      <c r="V37" s="2293" t="s">
        <v>430</v>
      </c>
      <c r="W37" s="2294"/>
      <c r="X37" s="2294"/>
      <c r="Y37" s="2294"/>
      <c r="Z37" s="2294"/>
      <c r="AA37" s="2295"/>
      <c r="AB37" s="2296" t="s">
        <v>431</v>
      </c>
      <c r="AC37" s="2293" t="s">
        <v>430</v>
      </c>
      <c r="AD37" s="2294"/>
      <c r="AE37" s="2294"/>
      <c r="AF37" s="2294"/>
      <c r="AG37" s="2294"/>
      <c r="AH37" s="2295"/>
      <c r="AI37" s="2296" t="s">
        <v>432</v>
      </c>
      <c r="AJ37" s="2299" t="s">
        <v>433</v>
      </c>
      <c r="AK37" s="2146"/>
      <c r="AQ37" s="1155">
        <v>14</v>
      </c>
    </row>
    <row customHeight="1" ht="35.699999999999996">
      <c r="Q38" s="376"/>
      <c r="R38" s="376"/>
      <c r="S38" s="2292"/>
      <c r="T38" s="2228"/>
      <c r="U38" s="1031"/>
      <c r="V38" s="1483" t="s">
        <v>492</v>
      </c>
      <c r="W38" s="2281" t="s">
        <v>436</v>
      </c>
      <c r="X38" s="2282"/>
      <c r="Y38" s="2281" t="s">
        <v>437</v>
      </c>
      <c r="Z38" s="2288"/>
      <c r="AA38" s="2282"/>
      <c r="AB38" s="2297"/>
      <c r="AC38" s="1483" t="s">
        <v>492</v>
      </c>
      <c r="AD38" s="2281" t="s">
        <v>436</v>
      </c>
      <c r="AE38" s="2282"/>
      <c r="AF38" s="2281" t="s">
        <v>437</v>
      </c>
      <c r="AG38" s="2288"/>
      <c r="AH38" s="2282"/>
      <c r="AI38" s="2297"/>
      <c r="AJ38" s="2300"/>
      <c r="AK38" s="2146"/>
      <c r="AQ38" s="1155">
        <v>34</v>
      </c>
    </row>
    <row customHeight="1" ht="90.3">
      <c r="A39" s="1370"/>
      <c r="B39" s="1370" t="s">
        <v>142</v>
      </c>
      <c r="C39" s="1370" t="s">
        <v>143</v>
      </c>
      <c r="D39" s="1370" t="s">
        <v>144</v>
      </c>
      <c r="E39" s="1364" t="s">
        <v>438</v>
      </c>
      <c r="F39" s="1364" t="s">
        <v>439</v>
      </c>
      <c r="G39" s="1364" t="s">
        <v>440</v>
      </c>
      <c r="H39" s="1364"/>
      <c r="I39" s="1364" t="s">
        <v>493</v>
      </c>
      <c r="J39" s="1364" t="s">
        <v>443</v>
      </c>
      <c r="K39" s="1364" t="s">
        <v>494</v>
      </c>
      <c r="L39" s="1364" t="s">
        <v>423</v>
      </c>
      <c r="Q39" s="376"/>
      <c r="R39" s="376"/>
      <c r="S39" s="2292"/>
      <c r="T39" s="2228"/>
      <c r="U39" s="302"/>
      <c r="V39" s="1483" t="s">
        <v>521</v>
      </c>
      <c r="W39" s="1222" t="s">
        <v>522</v>
      </c>
      <c r="X39" s="1222" t="s">
        <v>497</v>
      </c>
      <c r="Y39" s="1489" t="s">
        <v>447</v>
      </c>
      <c r="Z39" s="2289" t="s">
        <v>448</v>
      </c>
      <c r="AA39" s="2290"/>
      <c r="AB39" s="2298"/>
      <c r="AC39" s="1483" t="s">
        <v>521</v>
      </c>
      <c r="AD39" s="1222" t="s">
        <v>522</v>
      </c>
      <c r="AE39" s="1222" t="s">
        <v>497</v>
      </c>
      <c r="AF39" s="1489" t="s">
        <v>447</v>
      </c>
      <c r="AG39" s="2289" t="s">
        <v>448</v>
      </c>
      <c r="AH39" s="2290"/>
      <c r="AI39" s="2298"/>
      <c r="AJ39" s="2301"/>
      <c r="AK39" s="2146"/>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520</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524</v>
      </c>
      <c r="E44" s="2278"/>
      <c r="F44" s="2278"/>
      <c r="G44" s="2278"/>
      <c r="H44" s="2278"/>
      <c r="I44" s="2275" t="str">
        <f>S43&amp;".1"</f>
        <v>...1</v>
      </c>
      <c r="J44" s="1363"/>
      <c r="K44" s="1363"/>
      <c r="L44" s="1364"/>
      <c r="P44" s="2276">
        <v>1</v>
      </c>
      <c r="Q44" s="1481"/>
      <c r="R44" s="356"/>
      <c r="S44" s="1493" t="str">
        <f>$I44</f>
        <v>...1</v>
      </c>
      <c r="T44" s="285" t="s">
        <v>486</v>
      </c>
      <c r="U44" s="300"/>
      <c r="V44" s="2369"/>
      <c r="W44" s="2370"/>
      <c r="X44" s="2370"/>
      <c r="Y44" s="2370"/>
      <c r="Z44" s="2370"/>
      <c r="AA44" s="2370"/>
      <c r="AB44" s="2371"/>
      <c r="AC44" s="2372"/>
      <c r="AD44" s="2373"/>
      <c r="AE44" s="2373"/>
      <c r="AF44" s="2373"/>
      <c r="AG44" s="2373"/>
      <c r="AH44" s="2373"/>
      <c r="AI44" s="2373"/>
      <c r="AJ44" s="2374"/>
      <c r="AK44" s="1258" t="s">
        <v>487</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524</v>
      </c>
      <c r="E45" s="2278"/>
      <c r="F45" s="2278"/>
      <c r="G45" s="2278"/>
      <c r="H45" s="2278"/>
      <c r="I45" s="2305"/>
      <c r="J45" s="2275" t="str">
        <f>I44&amp;".1"</f>
        <v>...1.1</v>
      </c>
      <c r="K45" s="1363"/>
      <c r="L45" s="1364" t="s">
        <v>411</v>
      </c>
      <c r="P45" s="2276"/>
      <c r="Q45" s="2276">
        <v>1</v>
      </c>
      <c r="R45" s="357"/>
      <c r="S45" s="1493" t="str">
        <f>$J45</f>
        <v>...1.1</v>
      </c>
      <c r="T45" s="286" t="s">
        <v>412</v>
      </c>
      <c r="U45" s="300"/>
      <c r="V45" s="2264"/>
      <c r="W45" s="2265"/>
      <c r="X45" s="2265"/>
      <c r="Y45" s="2265"/>
      <c r="Z45" s="2265"/>
      <c r="AA45" s="2265"/>
      <c r="AB45" s="2266"/>
      <c r="AC45" s="2264"/>
      <c r="AD45" s="2265"/>
      <c r="AE45" s="2265"/>
      <c r="AF45" s="2265"/>
      <c r="AG45" s="2265"/>
      <c r="AH45" s="2265"/>
      <c r="AI45" s="2265"/>
      <c r="AJ45" s="2266"/>
      <c r="AK45" s="1307" t="s">
        <v>488</v>
      </c>
      <c r="AM45" s="500"/>
      <c r="AN45" s="500" t="str">
        <f>IF(T45="","",T45)</f>
        <v>Группа потребителей</v>
      </c>
      <c r="AO45" s="500"/>
      <c r="AP45" s="500"/>
      <c r="AQ45" s="1155">
        <v>23</v>
      </c>
    </row>
    <row customHeight="1" ht="24">
      <c r="A46" s="1363" t="s">
        <v>276</v>
      </c>
      <c r="B46" s="1363" t="s">
        <v>277</v>
      </c>
      <c r="C46" s="1363" t="s">
        <v>278</v>
      </c>
      <c r="D46" s="1363" t="s">
        <v>524</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66</v>
      </c>
      <c r="AA46" s="2286"/>
      <c r="AB46" s="2287" t="s">
        <v>66</v>
      </c>
      <c r="AC46" s="751"/>
      <c r="AD46" s="751"/>
      <c r="AE46" s="1257"/>
      <c r="AF46" s="2284"/>
      <c r="AG46" s="2126" t="s">
        <v>66</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524</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276</v>
      </c>
      <c r="B48" s="1363" t="s">
        <v>277</v>
      </c>
      <c r="C48" s="1363" t="s">
        <v>278</v>
      </c>
      <c r="D48" s="1363" t="s">
        <v>524</v>
      </c>
      <c r="E48" s="2278"/>
      <c r="F48" s="2278"/>
      <c r="G48" s="2278"/>
      <c r="H48" s="2278"/>
      <c r="I48" s="2305"/>
      <c r="J48" s="2275"/>
      <c r="K48" s="1363"/>
      <c r="L48" s="1364"/>
      <c r="P48" s="2276"/>
      <c r="Q48" s="2276"/>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524</v>
      </c>
      <c r="E49" s="2278"/>
      <c r="F49" s="2278"/>
      <c r="G49" s="2278"/>
      <c r="H49" s="2278"/>
      <c r="I49" s="2275"/>
      <c r="J49" s="1363"/>
      <c r="K49" s="1363"/>
      <c r="L49" s="1364"/>
      <c r="P49" s="2276"/>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524</v>
      </c>
      <c r="E50" s="2278"/>
      <c r="F50" s="2278"/>
      <c r="G50" s="2278"/>
      <c r="H50" s="2277"/>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78"/>
      <c r="F51" s="2277"/>
      <c r="G51" s="1314"/>
      <c r="H51" s="1314"/>
      <c r="I51" s="1314"/>
      <c r="J51" s="1314"/>
      <c r="K51" s="1314"/>
      <c r="L51" s="1494"/>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77"/>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3C6E8-82F8-DEFE-F838-FF482F2265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130</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402</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403</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519</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407</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408</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66</v>
      </c>
      <c r="AB8" s="1733"/>
      <c r="AC8" s="1469" t="s">
        <v>66</v>
      </c>
      <c r="AD8" s="2204" t="s">
        <v>66</v>
      </c>
      <c r="AE8" s="2345"/>
      <c r="AF8" s="2224">
        <v>1</v>
      </c>
      <c r="AG8" s="2382"/>
      <c r="AH8" s="2126" t="s">
        <v>66</v>
      </c>
      <c r="AI8" s="2345"/>
      <c r="AJ8" s="2224">
        <v>1</v>
      </c>
      <c r="AK8" s="2346" t="s">
        <v>22</v>
      </c>
      <c r="AL8" s="2126" t="s">
        <v>66</v>
      </c>
      <c r="AM8" s="2211"/>
      <c r="AN8" s="2224">
        <v>1</v>
      </c>
      <c r="AO8" s="2376"/>
      <c r="AP8" s="2377" t="s">
        <v>66</v>
      </c>
      <c r="AQ8" s="311"/>
      <c r="AR8" s="1486">
        <v>1</v>
      </c>
      <c r="AS8" s="1492" t="s">
        <v>22</v>
      </c>
      <c r="AT8" s="751"/>
      <c r="AU8" s="1257"/>
      <c r="AV8" s="751"/>
      <c r="AW8" s="1257"/>
      <c r="AX8" s="1733"/>
      <c r="AY8" s="1469" t="s">
        <v>66</v>
      </c>
      <c r="AZ8" s="1733"/>
      <c r="BA8" s="1469" t="s">
        <v>66</v>
      </c>
      <c r="BB8" s="1348"/>
      <c r="BC8" s="2272" t="s">
        <v>502</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503</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525</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421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66</v>
      </c>
      <c r="AZ20" s="1735"/>
      <c r="BA20" s="1485" t="s">
        <v>66</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470</v>
      </c>
      <c r="AH24" s="1507" t="s">
        <v>470</v>
      </c>
      <c r="AK24" s="1507" t="s">
        <v>507</v>
      </c>
      <c r="AL24" s="1507" t="s">
        <v>470</v>
      </c>
      <c r="AP24" s="1507" t="s">
        <v>470</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305</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306</v>
      </c>
      <c r="BI40" s="1155">
        <v>14</v>
      </c>
    </row>
    <row customHeight="1" ht="14.699999999999998">
      <c r="Q41" s="291"/>
      <c r="R41" s="376"/>
      <c r="S41" s="2292" t="s">
        <v>89</v>
      </c>
      <c r="T41" s="2228" t="s">
        <v>510</v>
      </c>
      <c r="U41" s="301"/>
      <c r="V41" s="2293" t="s">
        <v>430</v>
      </c>
      <c r="W41" s="2294"/>
      <c r="X41" s="2294"/>
      <c r="Y41" s="2294"/>
      <c r="Z41" s="2294"/>
      <c r="AA41" s="2294"/>
      <c r="AB41" s="2295"/>
      <c r="AC41" s="2296" t="s">
        <v>431</v>
      </c>
      <c r="AD41" s="2347" t="s">
        <v>527</v>
      </c>
      <c r="AE41" s="2310"/>
      <c r="AF41" s="2310"/>
      <c r="AG41" s="2348"/>
      <c r="AH41" s="2347" t="s">
        <v>528</v>
      </c>
      <c r="AI41" s="2310"/>
      <c r="AJ41" s="2310"/>
      <c r="AK41" s="2348"/>
      <c r="AL41" s="2347" t="s">
        <v>529</v>
      </c>
      <c r="AM41" s="2310"/>
      <c r="AN41" s="2310"/>
      <c r="AO41" s="2348"/>
      <c r="AP41" s="2347" t="s">
        <v>514</v>
      </c>
      <c r="AQ41" s="2310"/>
      <c r="AR41" s="2310"/>
      <c r="AS41" s="2348"/>
      <c r="AT41" s="2293" t="s">
        <v>430</v>
      </c>
      <c r="AU41" s="2294"/>
      <c r="AV41" s="2294"/>
      <c r="AW41" s="2294"/>
      <c r="AX41" s="2294"/>
      <c r="AY41" s="2294"/>
      <c r="AZ41" s="2295"/>
      <c r="BA41" s="2296" t="s">
        <v>431</v>
      </c>
      <c r="BB41" s="2299" t="s">
        <v>433</v>
      </c>
      <c r="BC41" s="2146"/>
      <c r="BI41" s="1155">
        <v>14</v>
      </c>
    </row>
    <row customHeight="1" ht="35.699999999999996">
      <c r="Q42" s="291"/>
      <c r="R42" s="376"/>
      <c r="S42" s="2292"/>
      <c r="T42" s="2228"/>
      <c r="U42" s="1031"/>
      <c r="V42" s="2211" t="s">
        <v>515</v>
      </c>
      <c r="W42" s="2212"/>
      <c r="X42" s="2211" t="s">
        <v>516</v>
      </c>
      <c r="Y42" s="2212"/>
      <c r="Z42" s="2313" t="s">
        <v>517</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530</v>
      </c>
      <c r="AU42" s="2212"/>
      <c r="AV42" s="2211" t="s">
        <v>531</v>
      </c>
      <c r="AW42" s="2212"/>
      <c r="AX42" s="2313" t="s">
        <v>517</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142</v>
      </c>
      <c r="C44" s="1370" t="s">
        <v>143</v>
      </c>
      <c r="D44" s="1370" t="s">
        <v>144</v>
      </c>
      <c r="E44" s="1364" t="s">
        <v>438</v>
      </c>
      <c r="F44" s="1364" t="s">
        <v>439</v>
      </c>
      <c r="G44" s="1364" t="s">
        <v>440</v>
      </c>
      <c r="H44" s="1364" t="s">
        <v>441</v>
      </c>
      <c r="I44" s="1364" t="s">
        <v>442</v>
      </c>
      <c r="J44" s="1364" t="s">
        <v>443</v>
      </c>
      <c r="K44" s="1364" t="s">
        <v>444</v>
      </c>
      <c r="L44" s="1364" t="s">
        <v>423</v>
      </c>
      <c r="Q44" s="291"/>
      <c r="R44" s="376"/>
      <c r="S44" s="2292"/>
      <c r="T44" s="2228"/>
      <c r="U44" s="302"/>
      <c r="V44" s="1479" t="s">
        <v>479</v>
      </c>
      <c r="W44" s="1479" t="s">
        <v>480</v>
      </c>
      <c r="X44" s="1479" t="s">
        <v>479</v>
      </c>
      <c r="Y44" s="1479" t="s">
        <v>480</v>
      </c>
      <c r="Z44" s="1489" t="s">
        <v>447</v>
      </c>
      <c r="AA44" s="2289" t="s">
        <v>448</v>
      </c>
      <c r="AB44" s="2290"/>
      <c r="AC44" s="2298"/>
      <c r="AD44" s="2352"/>
      <c r="AE44" s="2353"/>
      <c r="AF44" s="2353"/>
      <c r="AG44" s="2354"/>
      <c r="AH44" s="2352"/>
      <c r="AI44" s="2353"/>
      <c r="AJ44" s="2353"/>
      <c r="AK44" s="2354"/>
      <c r="AL44" s="2352"/>
      <c r="AM44" s="2353"/>
      <c r="AN44" s="2353"/>
      <c r="AO44" s="2354"/>
      <c r="AP44" s="2352"/>
      <c r="AQ44" s="2353"/>
      <c r="AR44" s="2353"/>
      <c r="AS44" s="2354"/>
      <c r="AT44" s="1479" t="s">
        <v>479</v>
      </c>
      <c r="AU44" s="1479" t="s">
        <v>480</v>
      </c>
      <c r="AV44" s="1479" t="s">
        <v>479</v>
      </c>
      <c r="AW44" s="1479" t="s">
        <v>480</v>
      </c>
      <c r="AX44" s="1489" t="s">
        <v>447</v>
      </c>
      <c r="AY44" s="2289" t="s">
        <v>448</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130</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532</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407</v>
      </c>
      <c r="BE49" s="500"/>
      <c r="BF49" s="500" t="str">
        <f>IF(T49="","",T49)</f>
        <v/>
      </c>
      <c r="BG49" s="500"/>
      <c r="BH49" s="500"/>
      <c r="BI49" s="511">
        <v>0</v>
      </c>
    </row>
    <row s="1642" customFormat="1" customHeight="1" ht="0">
      <c r="A50" s="1343" t="s">
        <v>281</v>
      </c>
      <c r="B50" s="1343" t="s">
        <v>282</v>
      </c>
      <c r="C50" s="1343" t="s">
        <v>283</v>
      </c>
      <c r="D50" s="1343" t="s">
        <v>532</v>
      </c>
      <c r="E50" s="2278"/>
      <c r="F50" s="2278"/>
      <c r="G50" s="2278"/>
      <c r="H50" s="2278"/>
      <c r="I50" s="2275" t="str">
        <f>S49&amp;".1"</f>
        <v>.1</v>
      </c>
      <c r="J50" s="1343"/>
      <c r="K50" s="1343"/>
      <c r="L50" s="1346" t="s">
        <v>408</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281</v>
      </c>
      <c r="B51" s="1343" t="s">
        <v>282</v>
      </c>
      <c r="C51" s="1343" t="s">
        <v>283</v>
      </c>
      <c r="D51" s="1343" t="s">
        <v>532</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281</v>
      </c>
      <c r="B52" s="1363" t="s">
        <v>282</v>
      </c>
      <c r="C52" s="1363" t="s">
        <v>283</v>
      </c>
      <c r="D52" s="1363" t="s">
        <v>532</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66</v>
      </c>
      <c r="AB52" s="1733"/>
      <c r="AC52" s="1469" t="s">
        <v>66</v>
      </c>
      <c r="AD52" s="2204" t="s">
        <v>66</v>
      </c>
      <c r="AE52" s="2345"/>
      <c r="AF52" s="2224">
        <v>1</v>
      </c>
      <c r="AG52" s="2382"/>
      <c r="AH52" s="2126" t="s">
        <v>66</v>
      </c>
      <c r="AI52" s="2345"/>
      <c r="AJ52" s="2224">
        <v>1</v>
      </c>
      <c r="AK52" s="2346" t="s">
        <v>22</v>
      </c>
      <c r="AL52" s="2126" t="s">
        <v>66</v>
      </c>
      <c r="AM52" s="2211"/>
      <c r="AN52" s="2224">
        <v>1</v>
      </c>
      <c r="AO52" s="2376"/>
      <c r="AP52" s="2377" t="s">
        <v>66</v>
      </c>
      <c r="AQ52" s="311"/>
      <c r="AR52" s="1486">
        <v>1</v>
      </c>
      <c r="AS52" s="1492" t="s">
        <v>22</v>
      </c>
      <c r="AT52" s="751"/>
      <c r="AU52" s="1257"/>
      <c r="AV52" s="751"/>
      <c r="AW52" s="1257"/>
      <c r="AX52" s="1733"/>
      <c r="AY52" s="1469" t="s">
        <v>66</v>
      </c>
      <c r="AZ52" s="1733"/>
      <c r="BA52" s="1469" t="s">
        <v>66</v>
      </c>
      <c r="BB52" s="1348"/>
      <c r="BC52" s="2272" t="s">
        <v>502</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503</v>
      </c>
      <c r="AT53" s="1393"/>
      <c r="AU53" s="1496"/>
      <c r="AV53" s="1393"/>
      <c r="AW53" s="1496"/>
      <c r="AX53" s="1393"/>
      <c r="AY53" s="1393"/>
      <c r="AZ53" s="1393"/>
      <c r="BA53" s="1393"/>
      <c r="BB53" s="1397"/>
      <c r="BC53" s="2273"/>
      <c r="BE53" s="500"/>
      <c r="BF53" s="500"/>
      <c r="BG53" s="500"/>
      <c r="BH53" s="500"/>
      <c r="BI53" s="1155">
        <v>11</v>
      </c>
    </row>
    <row customHeight="1" ht="11.549999999999999">
      <c r="A54" s="1363" t="s">
        <v>281</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525</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281</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281</v>
      </c>
      <c r="B56" s="1363" t="s">
        <v>282</v>
      </c>
      <c r="C56" s="1363" t="s">
        <v>283</v>
      </c>
      <c r="D56" s="1363" t="s">
        <v>532</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281</v>
      </c>
      <c r="B57" s="1363" t="s">
        <v>282</v>
      </c>
      <c r="C57" s="1363" t="s">
        <v>283</v>
      </c>
      <c r="D57" s="1363" t="s">
        <v>532</v>
      </c>
      <c r="E57" s="2278"/>
      <c r="F57" s="2278"/>
      <c r="G57" s="2278"/>
      <c r="H57" s="2278"/>
      <c r="I57" s="2305"/>
      <c r="J57" s="2275"/>
      <c r="K57" s="1363"/>
      <c r="L57" s="1364"/>
      <c r="P57" s="2276"/>
      <c r="Q57" s="2276"/>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281</v>
      </c>
      <c r="B58" s="1343" t="s">
        <v>282</v>
      </c>
      <c r="C58" s="1343" t="s">
        <v>283</v>
      </c>
      <c r="D58" s="1343" t="s">
        <v>532</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532</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78"/>
      <c r="F61" s="2277"/>
      <c r="G61" s="1314"/>
      <c r="H61" s="1314"/>
      <c r="I61" s="1314"/>
      <c r="J61" s="1314"/>
      <c r="K61" s="1314"/>
      <c r="L61" s="1494"/>
      <c r="M61" s="1321"/>
      <c r="N61" s="1321"/>
      <c r="P61" s="1316"/>
      <c r="Q61" s="1317"/>
      <c r="R61" s="1316"/>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77"/>
      <c r="F62" s="1343"/>
      <c r="G62" s="1343"/>
      <c r="H62" s="1343"/>
      <c r="I62" s="1343"/>
      <c r="J62" s="1343"/>
      <c r="K62" s="1343"/>
      <c r="L62" s="1346"/>
      <c r="M62" s="1321"/>
      <c r="N62" s="1321"/>
      <c r="O62" s="518"/>
      <c r="P62" s="380"/>
      <c r="Q62" s="1344"/>
      <c r="R62" s="380"/>
      <c r="S62" s="1322"/>
      <c r="T62" s="1325" t="s">
        <v>421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A0F08-E178-F398-F0DB-D708CB676F2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19" t="str">
        <f>NameTemplatesInListMO</f>
        <v>Перечень муниципальных районов и муниципальных образований (территорий оказания услуг)</v>
      </c>
      <c r="F4" s="2119"/>
      <c r="G4" s="2119"/>
      <c r="H4" s="2119"/>
      <c r="I4" s="2119"/>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0" t="s">
        <v>87</v>
      </c>
      <c r="F8" s="2121"/>
      <c r="G8" s="2122"/>
      <c r="H8" s="2123" t="s">
        <v>88</v>
      </c>
      <c r="I8" s="2123"/>
      <c r="J8" s="155"/>
      <c r="K8" s="155"/>
      <c r="L8" s="155"/>
      <c r="M8" s="155"/>
      <c r="N8" s="226"/>
      <c r="O8" s="155"/>
      <c r="P8" s="225"/>
      <c r="Q8" s="225"/>
      <c r="R8" s="225"/>
      <c r="S8" s="225"/>
      <c r="AC8" s="116">
        <v>14</v>
      </c>
    </row>
    <row s="1818"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8" customFormat="1" customHeight="1" ht="15">
      <c r="A12" s="2118">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18"/>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47" customFormat="1" customHeight="1" ht="15.75">
      <c r="A14" s="2118"/>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8"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8"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8"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8"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EF614-F9B5-F128-39DA-1F1816CCE2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402</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403</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533</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486</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487</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411</v>
      </c>
      <c r="P6" s="2276"/>
      <c r="Q6" s="2276">
        <v>1</v>
      </c>
      <c r="R6" s="357"/>
      <c r="S6" s="1493">
        <f>$J6</f>
      </c>
      <c r="T6" s="286" t="s">
        <v>412</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488</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751"/>
      <c r="AC7" s="2284"/>
      <c r="AD7" s="2126" t="s">
        <v>66</v>
      </c>
      <c r="AE7" s="2284"/>
      <c r="AF7" s="2126" t="s">
        <v>66</v>
      </c>
      <c r="AG7" s="751"/>
      <c r="AH7" s="751"/>
      <c r="AI7" s="751"/>
      <c r="AJ7" s="751"/>
      <c r="AK7" s="751"/>
      <c r="AL7" s="751"/>
      <c r="AM7" s="751"/>
      <c r="AN7" s="2284"/>
      <c r="AO7" s="2126" t="s">
        <v>66</v>
      </c>
      <c r="AP7" s="2306"/>
      <c r="AQ7" s="2126" t="s">
        <v>66</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5"/>
      <c r="AC8" s="2285"/>
      <c r="AD8" s="2126"/>
      <c r="AE8" s="2285"/>
      <c r="AF8" s="2126"/>
      <c r="AG8" s="325"/>
      <c r="AH8" s="325"/>
      <c r="AI8" s="325"/>
      <c r="AJ8" s="325"/>
      <c r="AK8" s="325"/>
      <c r="AL8" s="325"/>
      <c r="AM8" s="325"/>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86"/>
      <c r="AO15" s="2287" t="s">
        <v>66</v>
      </c>
      <c r="AP15" s="2286"/>
      <c r="AQ15" s="2287" t="s">
        <v>66</v>
      </c>
      <c r="AY15" s="1155">
        <v>0</v>
      </c>
    </row>
    <row customHeight="1" ht="14.25" hidden="1">
      <c r="AG16" s="1360"/>
      <c r="AH16" s="1360"/>
      <c r="AI16" s="1360"/>
      <c r="AJ16" s="1360"/>
      <c r="AK16" s="1360"/>
      <c r="AL16" s="1360"/>
      <c r="AM16" s="1360"/>
      <c r="AN16" s="2287"/>
      <c r="AO16" s="2287"/>
      <c r="AP16" s="2287"/>
      <c r="AQ16" s="2287"/>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305</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306</v>
      </c>
      <c r="AY36" s="1155">
        <v>14</v>
      </c>
    </row>
    <row customHeight="1" ht="14.699999999999998">
      <c r="Q37" s="376"/>
      <c r="R37" s="376"/>
      <c r="S37" s="2292" t="s">
        <v>89</v>
      </c>
      <c r="T37" s="2228" t="s">
        <v>429</v>
      </c>
      <c r="U37" s="301"/>
      <c r="V37" s="2293" t="s">
        <v>430</v>
      </c>
      <c r="W37" s="2310"/>
      <c r="X37" s="2310"/>
      <c r="Y37" s="2310"/>
      <c r="Z37" s="2310"/>
      <c r="AA37" s="2310"/>
      <c r="AB37" s="2310"/>
      <c r="AC37" s="2294"/>
      <c r="AD37" s="2294"/>
      <c r="AE37" s="2295"/>
      <c r="AF37" s="2296" t="s">
        <v>431</v>
      </c>
      <c r="AG37" s="2293" t="s">
        <v>430</v>
      </c>
      <c r="AH37" s="2294"/>
      <c r="AI37" s="2294"/>
      <c r="AJ37" s="2294"/>
      <c r="AK37" s="2294"/>
      <c r="AL37" s="2294"/>
      <c r="AM37" s="2294"/>
      <c r="AN37" s="2294"/>
      <c r="AO37" s="2294"/>
      <c r="AP37" s="2295"/>
      <c r="AQ37" s="2296" t="s">
        <v>432</v>
      </c>
      <c r="AR37" s="2299" t="s">
        <v>433</v>
      </c>
      <c r="AS37" s="2146"/>
      <c r="AY37" s="1155">
        <v>14</v>
      </c>
    </row>
    <row customHeight="1" ht="19.95">
      <c r="Q38" s="376"/>
      <c r="R38" s="376"/>
      <c r="S38" s="2292"/>
      <c r="T38" s="2228"/>
      <c r="U38" s="1031"/>
      <c r="V38" s="2385" t="s">
        <v>535</v>
      </c>
      <c r="W38" s="2384" t="s">
        <v>536</v>
      </c>
      <c r="X38" s="2384"/>
      <c r="Y38" s="2384"/>
      <c r="Z38" s="2384" t="s">
        <v>537</v>
      </c>
      <c r="AA38" s="2384"/>
      <c r="AB38" s="2384"/>
      <c r="AC38" s="2313" t="s">
        <v>437</v>
      </c>
      <c r="AD38" s="2332"/>
      <c r="AE38" s="2333"/>
      <c r="AF38" s="2297"/>
      <c r="AG38" s="2385" t="s">
        <v>535</v>
      </c>
      <c r="AH38" s="2384" t="s">
        <v>536</v>
      </c>
      <c r="AI38" s="2384"/>
      <c r="AJ38" s="2384"/>
      <c r="AK38" s="2384" t="s">
        <v>537</v>
      </c>
      <c r="AL38" s="2384"/>
      <c r="AM38" s="2384"/>
      <c r="AN38" s="2313" t="s">
        <v>437</v>
      </c>
      <c r="AO38" s="2332"/>
      <c r="AP38" s="2333"/>
      <c r="AQ38" s="2297"/>
      <c r="AR38" s="2300"/>
      <c r="AS38" s="2146"/>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2"/>
      <c r="T39" s="2228"/>
      <c r="U39" s="1031"/>
      <c r="V39" s="2385"/>
      <c r="W39" s="2384" t="s">
        <v>538</v>
      </c>
      <c r="X39" s="2384" t="s">
        <v>539</v>
      </c>
      <c r="Y39" s="2384"/>
      <c r="Z39" s="2384" t="s">
        <v>540</v>
      </c>
      <c r="AA39" s="2384" t="s">
        <v>539</v>
      </c>
      <c r="AB39" s="2384"/>
      <c r="AC39" s="2314"/>
      <c r="AD39" s="2334"/>
      <c r="AE39" s="2335"/>
      <c r="AF39" s="2297"/>
      <c r="AG39" s="2385"/>
      <c r="AH39" s="2384" t="s">
        <v>538</v>
      </c>
      <c r="AI39" s="2384" t="s">
        <v>539</v>
      </c>
      <c r="AJ39" s="2384"/>
      <c r="AK39" s="2384" t="s">
        <v>540</v>
      </c>
      <c r="AL39" s="2384" t="s">
        <v>539</v>
      </c>
      <c r="AM39" s="2384"/>
      <c r="AN39" s="2314"/>
      <c r="AO39" s="2334"/>
      <c r="AP39" s="2335"/>
      <c r="AQ39" s="2297"/>
      <c r="AR39" s="2300"/>
      <c r="AS39" s="2146"/>
      <c r="AT39" s="1636"/>
      <c r="AU39" s="1636"/>
      <c r="AV39" s="1636"/>
      <c r="AW39" s="1636"/>
      <c r="AX39" s="1636"/>
      <c r="AY39" s="1631">
        <v>19</v>
      </c>
    </row>
    <row customHeight="1" ht="61.949999999999996">
      <c r="A40" s="1370"/>
      <c r="B40" s="1370" t="s">
        <v>142</v>
      </c>
      <c r="C40" s="1370" t="s">
        <v>143</v>
      </c>
      <c r="D40" s="1370" t="s">
        <v>144</v>
      </c>
      <c r="E40" s="1364" t="s">
        <v>438</v>
      </c>
      <c r="F40" s="1364" t="s">
        <v>439</v>
      </c>
      <c r="G40" s="1364" t="s">
        <v>440</v>
      </c>
      <c r="H40" s="1364"/>
      <c r="I40" s="1364" t="s">
        <v>493</v>
      </c>
      <c r="J40" s="1364" t="s">
        <v>443</v>
      </c>
      <c r="K40" s="1364" t="s">
        <v>494</v>
      </c>
      <c r="L40" s="1364" t="s">
        <v>423</v>
      </c>
      <c r="Q40" s="376"/>
      <c r="R40" s="376"/>
      <c r="S40" s="2292"/>
      <c r="T40" s="2228"/>
      <c r="U40" s="302"/>
      <c r="V40" s="2385"/>
      <c r="W40" s="2384"/>
      <c r="X40" s="1980" t="s">
        <v>541</v>
      </c>
      <c r="Y40" s="1980" t="s">
        <v>542</v>
      </c>
      <c r="Z40" s="2384"/>
      <c r="AA40" s="1980" t="s">
        <v>543</v>
      </c>
      <c r="AB40" s="1980" t="s">
        <v>544</v>
      </c>
      <c r="AC40" s="1489" t="s">
        <v>447</v>
      </c>
      <c r="AD40" s="2289" t="s">
        <v>448</v>
      </c>
      <c r="AE40" s="2290"/>
      <c r="AF40" s="2298"/>
      <c r="AG40" s="2385"/>
      <c r="AH40" s="2384"/>
      <c r="AI40" s="1980" t="s">
        <v>541</v>
      </c>
      <c r="AJ40" s="1980" t="s">
        <v>542</v>
      </c>
      <c r="AK40" s="2384"/>
      <c r="AL40" s="1980" t="s">
        <v>543</v>
      </c>
      <c r="AM40" s="1980" t="s">
        <v>544</v>
      </c>
      <c r="AN40" s="1489" t="s">
        <v>447</v>
      </c>
      <c r="AO40" s="2289" t="s">
        <v>448</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130</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545</v>
      </c>
      <c r="E45" s="2278"/>
      <c r="F45" s="2278"/>
      <c r="G45" s="2278"/>
      <c r="H45" s="2278"/>
      <c r="I45" s="2275" t="str">
        <f>S44&amp;".1"</f>
        <v>...1</v>
      </c>
      <c r="J45" s="1363"/>
      <c r="K45" s="1363"/>
      <c r="L45" s="1364"/>
      <c r="P45" s="2276">
        <v>1</v>
      </c>
      <c r="Q45" s="1481"/>
      <c r="R45" s="356"/>
      <c r="S45" s="1493" t="str">
        <f>$I45</f>
        <v>...1</v>
      </c>
      <c r="T45" s="285" t="s">
        <v>486</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487</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545</v>
      </c>
      <c r="E46" s="2278"/>
      <c r="F46" s="2278"/>
      <c r="G46" s="2278"/>
      <c r="H46" s="2278"/>
      <c r="I46" s="2305"/>
      <c r="J46" s="2275" t="str">
        <f>I45&amp;".1"</f>
        <v>...1.1</v>
      </c>
      <c r="K46" s="1363"/>
      <c r="L46" s="1364" t="s">
        <v>411</v>
      </c>
      <c r="P46" s="2276"/>
      <c r="Q46" s="2276">
        <v>1</v>
      </c>
      <c r="R46" s="357"/>
      <c r="S46" s="1493" t="str">
        <f>$J46</f>
        <v>...1.1</v>
      </c>
      <c r="T46" s="286" t="s">
        <v>412</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488</v>
      </c>
      <c r="AU46" s="500"/>
      <c r="AV46" s="500" t="str">
        <f>IF(T46="","",T46)</f>
        <v>Группа потребителей</v>
      </c>
      <c r="AW46" s="500"/>
      <c r="AX46" s="500"/>
      <c r="AY46" s="1155">
        <v>23</v>
      </c>
    </row>
    <row customHeight="1" ht="24">
      <c r="A47" s="1363" t="s">
        <v>256</v>
      </c>
      <c r="B47" s="1363" t="s">
        <v>257</v>
      </c>
      <c r="C47" s="1363" t="s">
        <v>258</v>
      </c>
      <c r="D47" s="1363" t="s">
        <v>545</v>
      </c>
      <c r="E47" s="2278"/>
      <c r="F47" s="2278"/>
      <c r="G47" s="2278"/>
      <c r="H47" s="2278"/>
      <c r="I47" s="2305"/>
      <c r="J47" s="2305"/>
      <c r="K47" s="2275" t="str">
        <f>J46&amp;".1"</f>
        <v>...1.1.1</v>
      </c>
      <c r="L47" s="1364"/>
      <c r="P47" s="2276"/>
      <c r="Q47" s="2276"/>
      <c r="R47" s="357">
        <v>1</v>
      </c>
      <c r="S47" s="1493" t="str">
        <f>$K47</f>
        <v>...1.1.1</v>
      </c>
      <c r="T47" s="1437"/>
      <c r="U47" s="300"/>
      <c r="V47" s="751"/>
      <c r="W47" s="751"/>
      <c r="X47" s="751"/>
      <c r="Y47" s="751"/>
      <c r="Z47" s="751"/>
      <c r="AA47" s="751"/>
      <c r="AB47" s="751"/>
      <c r="AC47" s="2286"/>
      <c r="AD47" s="2287" t="s">
        <v>66</v>
      </c>
      <c r="AE47" s="2286"/>
      <c r="AF47" s="2287" t="s">
        <v>66</v>
      </c>
      <c r="AG47" s="751"/>
      <c r="AH47" s="751"/>
      <c r="AI47" s="751"/>
      <c r="AJ47" s="751"/>
      <c r="AK47" s="751"/>
      <c r="AL47" s="751"/>
      <c r="AM47" s="751"/>
      <c r="AN47" s="2284"/>
      <c r="AO47" s="2126" t="s">
        <v>66</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545</v>
      </c>
      <c r="E48" s="2278"/>
      <c r="F48" s="2278"/>
      <c r="G48" s="2278"/>
      <c r="H48" s="2278"/>
      <c r="I48" s="2305"/>
      <c r="J48" s="2305"/>
      <c r="K48" s="2275"/>
      <c r="L48" s="1364"/>
      <c r="P48" s="2276"/>
      <c r="Q48" s="2276"/>
      <c r="R48" s="357"/>
      <c r="S48" s="1490"/>
      <c r="T48" s="300"/>
      <c r="U48" s="300"/>
      <c r="V48" s="1360"/>
      <c r="W48" s="1360"/>
      <c r="X48" s="1360"/>
      <c r="Y48" s="1360"/>
      <c r="Z48" s="1360"/>
      <c r="AA48" s="1360"/>
      <c r="AB48" s="1360"/>
      <c r="AC48" s="2287"/>
      <c r="AD48" s="2287"/>
      <c r="AE48" s="2287"/>
      <c r="AF48" s="2287"/>
      <c r="AG48" s="325"/>
      <c r="AH48" s="325"/>
      <c r="AI48" s="325"/>
      <c r="AJ48" s="325"/>
      <c r="AK48" s="325"/>
      <c r="AL48" s="325"/>
      <c r="AM48" s="325"/>
      <c r="AN48" s="2285"/>
      <c r="AO48" s="2126"/>
      <c r="AP48" s="2307"/>
      <c r="AQ48" s="2126"/>
      <c r="AR48" s="1439"/>
      <c r="AS48" s="2368"/>
      <c r="AU48" s="500"/>
      <c r="AV48" s="500" t="str">
        <f>IF(T48="","",T48)</f>
        <v/>
      </c>
      <c r="AW48" s="500"/>
      <c r="AX48" s="500"/>
      <c r="AY48" s="1155">
        <v>0</v>
      </c>
    </row>
    <row customHeight="1" ht="21">
      <c r="A49" s="1363" t="s">
        <v>256</v>
      </c>
      <c r="B49" s="1363" t="s">
        <v>257</v>
      </c>
      <c r="C49" s="1363" t="s">
        <v>258</v>
      </c>
      <c r="D49" s="1363" t="s">
        <v>545</v>
      </c>
      <c r="E49" s="2278"/>
      <c r="F49" s="2278"/>
      <c r="G49" s="2278"/>
      <c r="H49" s="2278"/>
      <c r="I49" s="2305"/>
      <c r="J49" s="2275"/>
      <c r="K49" s="1363"/>
      <c r="L49" s="1364"/>
      <c r="P49" s="2276"/>
      <c r="Q49" s="2276"/>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545</v>
      </c>
      <c r="E50" s="2278"/>
      <c r="F50" s="2278"/>
      <c r="G50" s="2278"/>
      <c r="H50" s="2278"/>
      <c r="I50" s="2275"/>
      <c r="J50" s="1363"/>
      <c r="K50" s="1363"/>
      <c r="L50" s="1364"/>
      <c r="P50" s="2276"/>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545</v>
      </c>
      <c r="E51" s="2278"/>
      <c r="F51" s="2278"/>
      <c r="G51" s="2278"/>
      <c r="H51" s="2277"/>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78"/>
      <c r="F52" s="2277"/>
      <c r="G52" s="1314"/>
      <c r="H52" s="1314"/>
      <c r="I52" s="1314"/>
      <c r="J52" s="1314"/>
      <c r="K52" s="1314"/>
      <c r="L52" s="1494"/>
      <c r="M52" s="1321"/>
      <c r="N52" s="1321"/>
      <c r="P52" s="1316"/>
      <c r="Q52" s="1317"/>
      <c r="R52" s="1316"/>
      <c r="S52" s="1322"/>
      <c r="T52" s="1325" t="s">
        <v>420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77"/>
      <c r="F53" s="1343"/>
      <c r="G53" s="1343"/>
      <c r="H53" s="1343"/>
      <c r="I53" s="1343"/>
      <c r="J53" s="1343"/>
      <c r="K53" s="1343"/>
      <c r="L53" s="1346"/>
      <c r="M53" s="1321"/>
      <c r="N53" s="1321"/>
      <c r="O53" s="518"/>
      <c r="P53" s="380"/>
      <c r="Q53" s="1344"/>
      <c r="R53" s="380"/>
      <c r="S53" s="1322"/>
      <c r="T53" s="1325" t="s">
        <v>421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50558-4F28-14D8-1408-9F224493500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402</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403</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533</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486</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487</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411</v>
      </c>
      <c r="P6" s="2276"/>
      <c r="Q6" s="2276">
        <v>1</v>
      </c>
      <c r="R6" s="357"/>
      <c r="S6" s="1493">
        <f>$J6</f>
      </c>
      <c r="T6" s="286" t="s">
        <v>412</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488</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1257"/>
      <c r="AC7" s="2284"/>
      <c r="AD7" s="2126" t="s">
        <v>66</v>
      </c>
      <c r="AE7" s="2284"/>
      <c r="AF7" s="2126" t="s">
        <v>66</v>
      </c>
      <c r="AG7" s="751"/>
      <c r="AH7" s="751"/>
      <c r="AI7" s="751"/>
      <c r="AJ7" s="751"/>
      <c r="AK7" s="751"/>
      <c r="AL7" s="751"/>
      <c r="AM7" s="1257"/>
      <c r="AN7" s="2284"/>
      <c r="AO7" s="2126" t="s">
        <v>66</v>
      </c>
      <c r="AP7" s="2306"/>
      <c r="AQ7" s="2126" t="s">
        <v>66</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8" t="str">
        <f>AC7&amp;"-"&amp;AE7</f>
        <v>-</v>
      </c>
      <c r="AC8" s="2285"/>
      <c r="AD8" s="2126"/>
      <c r="AE8" s="2285"/>
      <c r="AF8" s="2126"/>
      <c r="AG8" s="325"/>
      <c r="AH8" s="325"/>
      <c r="AI8" s="325"/>
      <c r="AJ8" s="325"/>
      <c r="AK8" s="325"/>
      <c r="AL8" s="325"/>
      <c r="AM8" s="328" t="str">
        <f>AN7&amp;"-"&amp;AP7</f>
        <v>-</v>
      </c>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86"/>
      <c r="AO15" s="2287" t="s">
        <v>66</v>
      </c>
      <c r="AP15" s="2286"/>
      <c r="AQ15" s="2287" t="s">
        <v>66</v>
      </c>
      <c r="AY15" s="1155">
        <v>0</v>
      </c>
    </row>
    <row customHeight="1" ht="14.25" hidden="1">
      <c r="AG16" s="1360"/>
      <c r="AH16" s="1360"/>
      <c r="AI16" s="1360"/>
      <c r="AJ16" s="1360"/>
      <c r="AK16" s="1360"/>
      <c r="AL16" s="1360"/>
      <c r="AM16" s="328" t="str">
        <f>AN15&amp;"-"&amp;AP15</f>
        <v>-</v>
      </c>
      <c r="AN16" s="2287"/>
      <c r="AO16" s="2287"/>
      <c r="AP16" s="2287"/>
      <c r="AQ16" s="2287"/>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Муниципальное унитарное предприятие "Невельские коммунальные сети"</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305</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306</v>
      </c>
      <c r="AY36" s="1155">
        <v>14</v>
      </c>
    </row>
    <row customHeight="1" ht="14.699999999999998">
      <c r="Q37" s="376"/>
      <c r="R37" s="376"/>
      <c r="S37" s="2292" t="s">
        <v>89</v>
      </c>
      <c r="T37" s="2228" t="s">
        <v>429</v>
      </c>
      <c r="U37" s="301"/>
      <c r="V37" s="2293" t="s">
        <v>430</v>
      </c>
      <c r="W37" s="2294"/>
      <c r="X37" s="2294"/>
      <c r="Y37" s="2294"/>
      <c r="Z37" s="2294"/>
      <c r="AA37" s="2294"/>
      <c r="AB37" s="2294"/>
      <c r="AC37" s="2294"/>
      <c r="AD37" s="2294"/>
      <c r="AE37" s="2295"/>
      <c r="AF37" s="2296" t="s">
        <v>431</v>
      </c>
      <c r="AG37" s="2293" t="s">
        <v>430</v>
      </c>
      <c r="AH37" s="2294"/>
      <c r="AI37" s="2294"/>
      <c r="AJ37" s="2294"/>
      <c r="AK37" s="2294"/>
      <c r="AL37" s="2294"/>
      <c r="AM37" s="2294"/>
      <c r="AN37" s="2294"/>
      <c r="AO37" s="2294"/>
      <c r="AP37" s="2295"/>
      <c r="AQ37" s="2296" t="s">
        <v>432</v>
      </c>
      <c r="AR37" s="2299" t="s">
        <v>433</v>
      </c>
      <c r="AS37" s="2146"/>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2"/>
      <c r="T38" s="2228"/>
      <c r="U38" s="1031"/>
      <c r="V38" s="2385" t="s">
        <v>535</v>
      </c>
      <c r="W38" s="2384" t="s">
        <v>536</v>
      </c>
      <c r="X38" s="2384"/>
      <c r="Y38" s="2384"/>
      <c r="Z38" s="2384" t="s">
        <v>537</v>
      </c>
      <c r="AA38" s="2384"/>
      <c r="AB38" s="2384"/>
      <c r="AC38" s="2313" t="s">
        <v>437</v>
      </c>
      <c r="AD38" s="2332"/>
      <c r="AE38" s="2333"/>
      <c r="AF38" s="2297"/>
      <c r="AG38" s="2385" t="s">
        <v>535</v>
      </c>
      <c r="AH38" s="2384" t="s">
        <v>536</v>
      </c>
      <c r="AI38" s="2384"/>
      <c r="AJ38" s="2384"/>
      <c r="AK38" s="2384" t="s">
        <v>537</v>
      </c>
      <c r="AL38" s="2384"/>
      <c r="AM38" s="2384"/>
      <c r="AN38" s="2313" t="s">
        <v>437</v>
      </c>
      <c r="AO38" s="2332"/>
      <c r="AP38" s="2333"/>
      <c r="AQ38" s="2297"/>
      <c r="AR38" s="2300"/>
      <c r="AS38" s="2146"/>
      <c r="AT38" s="1636"/>
      <c r="AU38" s="1636"/>
      <c r="AV38" s="1636"/>
      <c r="AW38" s="1636"/>
      <c r="AX38" s="1636"/>
      <c r="AY38" s="1631">
        <v>19</v>
      </c>
    </row>
    <row customHeight="1" ht="19.95">
      <c r="Q39" s="376"/>
      <c r="R39" s="376"/>
      <c r="S39" s="2292"/>
      <c r="T39" s="2228"/>
      <c r="U39" s="1031"/>
      <c r="V39" s="2385"/>
      <c r="W39" s="2384" t="s">
        <v>538</v>
      </c>
      <c r="X39" s="2384" t="s">
        <v>539</v>
      </c>
      <c r="Y39" s="2384"/>
      <c r="Z39" s="2384" t="s">
        <v>540</v>
      </c>
      <c r="AA39" s="2384" t="s">
        <v>539</v>
      </c>
      <c r="AB39" s="2384"/>
      <c r="AC39" s="2314"/>
      <c r="AD39" s="2334"/>
      <c r="AE39" s="2335"/>
      <c r="AF39" s="2297"/>
      <c r="AG39" s="2385"/>
      <c r="AH39" s="2384" t="s">
        <v>538</v>
      </c>
      <c r="AI39" s="2384" t="s">
        <v>539</v>
      </c>
      <c r="AJ39" s="2384"/>
      <c r="AK39" s="2384" t="s">
        <v>540</v>
      </c>
      <c r="AL39" s="2384" t="s">
        <v>539</v>
      </c>
      <c r="AM39" s="2384"/>
      <c r="AN39" s="2314"/>
      <c r="AO39" s="2334"/>
      <c r="AP39" s="2335"/>
      <c r="AQ39" s="2297"/>
      <c r="AR39" s="2300"/>
      <c r="AS39" s="2146"/>
      <c r="AY39" s="1155">
        <v>19</v>
      </c>
    </row>
    <row customHeight="1" ht="61.949999999999996">
      <c r="A40" s="1370"/>
      <c r="B40" s="1370" t="s">
        <v>142</v>
      </c>
      <c r="C40" s="1370" t="s">
        <v>143</v>
      </c>
      <c r="D40" s="1370" t="s">
        <v>144</v>
      </c>
      <c r="E40" s="1364" t="s">
        <v>438</v>
      </c>
      <c r="F40" s="1364" t="s">
        <v>439</v>
      </c>
      <c r="G40" s="1364" t="s">
        <v>440</v>
      </c>
      <c r="H40" s="1364"/>
      <c r="I40" s="1364" t="s">
        <v>493</v>
      </c>
      <c r="J40" s="1364" t="s">
        <v>443</v>
      </c>
      <c r="K40" s="1364" t="s">
        <v>494</v>
      </c>
      <c r="L40" s="1364" t="s">
        <v>423</v>
      </c>
      <c r="Q40" s="376"/>
      <c r="R40" s="376"/>
      <c r="S40" s="2292"/>
      <c r="T40" s="2228"/>
      <c r="U40" s="302"/>
      <c r="V40" s="2385"/>
      <c r="W40" s="2384"/>
      <c r="X40" s="1980" t="s">
        <v>541</v>
      </c>
      <c r="Y40" s="1980" t="s">
        <v>542</v>
      </c>
      <c r="Z40" s="2384"/>
      <c r="AA40" s="1980" t="s">
        <v>543</v>
      </c>
      <c r="AB40" s="1980" t="s">
        <v>544</v>
      </c>
      <c r="AC40" s="1489" t="s">
        <v>447</v>
      </c>
      <c r="AD40" s="2289" t="s">
        <v>448</v>
      </c>
      <c r="AE40" s="2290"/>
      <c r="AF40" s="2298"/>
      <c r="AG40" s="2385"/>
      <c r="AH40" s="2384"/>
      <c r="AI40" s="1980" t="s">
        <v>541</v>
      </c>
      <c r="AJ40" s="1980" t="s">
        <v>542</v>
      </c>
      <c r="AK40" s="2384"/>
      <c r="AL40" s="1980" t="s">
        <v>543</v>
      </c>
      <c r="AM40" s="1980" t="s">
        <v>544</v>
      </c>
      <c r="AN40" s="1489" t="s">
        <v>447</v>
      </c>
      <c r="AO40" s="2289" t="s">
        <v>448</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130</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546</v>
      </c>
      <c r="E45" s="2278"/>
      <c r="F45" s="2278"/>
      <c r="G45" s="2278"/>
      <c r="H45" s="2278"/>
      <c r="I45" s="2275" t="str">
        <f>S44&amp;".1"</f>
        <v>...1</v>
      </c>
      <c r="J45" s="1363"/>
      <c r="K45" s="1363"/>
      <c r="L45" s="1364"/>
      <c r="P45" s="2276">
        <v>1</v>
      </c>
      <c r="Q45" s="1481"/>
      <c r="R45" s="356"/>
      <c r="S45" s="1493" t="str">
        <f>$I45</f>
        <v>...1</v>
      </c>
      <c r="T45" s="285" t="s">
        <v>486</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487</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546</v>
      </c>
      <c r="E46" s="2278"/>
      <c r="F46" s="2278"/>
      <c r="G46" s="2278"/>
      <c r="H46" s="2278"/>
      <c r="I46" s="2305"/>
      <c r="J46" s="2275" t="str">
        <f>I45&amp;".1"</f>
        <v>...1.1</v>
      </c>
      <c r="K46" s="1363"/>
      <c r="L46" s="1364" t="s">
        <v>411</v>
      </c>
      <c r="P46" s="2276"/>
      <c r="Q46" s="2276">
        <v>1</v>
      </c>
      <c r="R46" s="357"/>
      <c r="S46" s="1493" t="str">
        <f>$J46</f>
        <v>...1.1</v>
      </c>
      <c r="T46" s="286" t="s">
        <v>412</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488</v>
      </c>
      <c r="AU46" s="500"/>
      <c r="AV46" s="500" t="str">
        <f>IF(T46="","",T46)</f>
        <v>Группа потребителей</v>
      </c>
      <c r="AW46" s="500"/>
      <c r="AX46" s="500"/>
      <c r="AY46" s="1155">
        <v>23</v>
      </c>
    </row>
    <row customHeight="1" ht="24">
      <c r="A47" s="1363" t="s">
        <v>261</v>
      </c>
      <c r="B47" s="1363" t="s">
        <v>262</v>
      </c>
      <c r="C47" s="1363" t="s">
        <v>263</v>
      </c>
      <c r="D47" s="1363" t="s">
        <v>546</v>
      </c>
      <c r="E47" s="2278"/>
      <c r="F47" s="2278"/>
      <c r="G47" s="2278"/>
      <c r="H47" s="2278"/>
      <c r="I47" s="2305"/>
      <c r="J47" s="2305"/>
      <c r="K47" s="2275" t="str">
        <f>J46&amp;".1"</f>
        <v>...1.1.1</v>
      </c>
      <c r="L47" s="1364"/>
      <c r="P47" s="2276"/>
      <c r="Q47" s="2276"/>
      <c r="R47" s="357">
        <v>1</v>
      </c>
      <c r="S47" s="1493" t="str">
        <f>$K47</f>
        <v>...1.1.1</v>
      </c>
      <c r="T47" s="1437"/>
      <c r="U47" s="300"/>
      <c r="V47" s="1360"/>
      <c r="W47" s="1360"/>
      <c r="X47" s="1360"/>
      <c r="Y47" s="1360"/>
      <c r="Z47" s="1360"/>
      <c r="AA47" s="1360"/>
      <c r="AB47" s="1361"/>
      <c r="AC47" s="2286"/>
      <c r="AD47" s="2287" t="s">
        <v>66</v>
      </c>
      <c r="AE47" s="2286"/>
      <c r="AF47" s="2287" t="s">
        <v>66</v>
      </c>
      <c r="AG47" s="751"/>
      <c r="AH47" s="751"/>
      <c r="AI47" s="751"/>
      <c r="AJ47" s="751"/>
      <c r="AK47" s="751"/>
      <c r="AL47" s="751"/>
      <c r="AM47" s="1257"/>
      <c r="AN47" s="2284"/>
      <c r="AO47" s="2126" t="s">
        <v>66</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546</v>
      </c>
      <c r="E48" s="2278"/>
      <c r="F48" s="2278"/>
      <c r="G48" s="2278"/>
      <c r="H48" s="2278"/>
      <c r="I48" s="2305"/>
      <c r="J48" s="2305"/>
      <c r="K48" s="2275"/>
      <c r="L48" s="1364"/>
      <c r="P48" s="2276"/>
      <c r="Q48" s="2276"/>
      <c r="R48" s="357"/>
      <c r="S48" s="1490"/>
      <c r="T48" s="300"/>
      <c r="U48" s="300"/>
      <c r="V48" s="1360"/>
      <c r="W48" s="1360"/>
      <c r="X48" s="1360"/>
      <c r="Y48" s="1360"/>
      <c r="Z48" s="1360"/>
      <c r="AA48" s="1360"/>
      <c r="AB48" s="328" t="str">
        <f>AC47&amp;"-"&amp;AE47</f>
        <v>-</v>
      </c>
      <c r="AC48" s="2287"/>
      <c r="AD48" s="2287"/>
      <c r="AE48" s="2287"/>
      <c r="AF48" s="2287"/>
      <c r="AG48" s="325"/>
      <c r="AH48" s="325"/>
      <c r="AI48" s="325"/>
      <c r="AJ48" s="325"/>
      <c r="AK48" s="325"/>
      <c r="AL48" s="325"/>
      <c r="AM48" s="328" t="str">
        <f>AN47&amp;"-"&amp;AP47</f>
        <v>-</v>
      </c>
      <c r="AN48" s="2285"/>
      <c r="AO48" s="2126"/>
      <c r="AP48" s="2307"/>
      <c r="AQ48" s="2126"/>
      <c r="AR48" s="1439"/>
      <c r="AS48" s="2368"/>
      <c r="AU48" s="500"/>
      <c r="AV48" s="500" t="str">
        <f>IF(T48="","",T48)</f>
        <v/>
      </c>
      <c r="AW48" s="500"/>
      <c r="AX48" s="500"/>
      <c r="AY48" s="1155">
        <v>0</v>
      </c>
    </row>
    <row customHeight="1" ht="21">
      <c r="A49" s="1363" t="s">
        <v>261</v>
      </c>
      <c r="B49" s="1363" t="s">
        <v>262</v>
      </c>
      <c r="C49" s="1363" t="s">
        <v>263</v>
      </c>
      <c r="D49" s="1363" t="s">
        <v>546</v>
      </c>
      <c r="E49" s="2278"/>
      <c r="F49" s="2278"/>
      <c r="G49" s="2278"/>
      <c r="H49" s="2278"/>
      <c r="I49" s="2305"/>
      <c r="J49" s="2275"/>
      <c r="K49" s="1363"/>
      <c r="L49" s="1364"/>
      <c r="P49" s="2276"/>
      <c r="Q49" s="2276"/>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546</v>
      </c>
      <c r="E50" s="2278"/>
      <c r="F50" s="2278"/>
      <c r="G50" s="2278"/>
      <c r="H50" s="2278"/>
      <c r="I50" s="2275"/>
      <c r="J50" s="1363"/>
      <c r="K50" s="1363"/>
      <c r="L50" s="1364"/>
      <c r="P50" s="2276"/>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546</v>
      </c>
      <c r="E51" s="2278"/>
      <c r="F51" s="2278"/>
      <c r="G51" s="2278"/>
      <c r="H51" s="2277"/>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78"/>
      <c r="F52" s="2277"/>
      <c r="G52" s="1314"/>
      <c r="H52" s="1314"/>
      <c r="I52" s="1314"/>
      <c r="J52" s="1314"/>
      <c r="K52" s="1314"/>
      <c r="L52" s="1494"/>
      <c r="M52" s="1321"/>
      <c r="N52" s="1321"/>
      <c r="P52" s="1316"/>
      <c r="Q52" s="1317"/>
      <c r="R52" s="1316"/>
      <c r="S52" s="1322"/>
      <c r="T52" s="1325" t="s">
        <v>420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77"/>
      <c r="F53" s="1343"/>
      <c r="G53" s="1343"/>
      <c r="H53" s="1343"/>
      <c r="I53" s="1343"/>
      <c r="J53" s="1343"/>
      <c r="K53" s="1343"/>
      <c r="L53" s="1346"/>
      <c r="M53" s="1321"/>
      <c r="N53" s="1321"/>
      <c r="O53" s="518"/>
      <c r="P53" s="380"/>
      <c r="Q53" s="1344"/>
      <c r="R53" s="380"/>
      <c r="S53" s="1322"/>
      <c r="T53" s="1325" t="s">
        <v>421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90FE8-0D68-30FD-10F8-CC12672AA6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130</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402</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403</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533</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407</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408</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66</v>
      </c>
      <c r="AB8" s="1733"/>
      <c r="AC8" s="1469" t="s">
        <v>66</v>
      </c>
      <c r="AD8" s="2204" t="s">
        <v>66</v>
      </c>
      <c r="AE8" s="2345"/>
      <c r="AF8" s="2224">
        <v>1</v>
      </c>
      <c r="AG8" s="2382"/>
      <c r="AH8" s="2126" t="s">
        <v>66</v>
      </c>
      <c r="AI8" s="2345"/>
      <c r="AJ8" s="2224">
        <v>1</v>
      </c>
      <c r="AK8" s="2346" t="s">
        <v>22</v>
      </c>
      <c r="AL8" s="2126" t="s">
        <v>66</v>
      </c>
      <c r="AM8" s="2211"/>
      <c r="AN8" s="2224">
        <v>1</v>
      </c>
      <c r="AO8" s="2376"/>
      <c r="AP8" s="2377" t="s">
        <v>66</v>
      </c>
      <c r="AQ8" s="311"/>
      <c r="AR8" s="1486">
        <v>1</v>
      </c>
      <c r="AS8" s="1492" t="s">
        <v>22</v>
      </c>
      <c r="AT8" s="751"/>
      <c r="AU8" s="1257"/>
      <c r="AV8" s="751"/>
      <c r="AW8" s="1257"/>
      <c r="AX8" s="1733"/>
      <c r="AY8" s="1469" t="s">
        <v>66</v>
      </c>
      <c r="AZ8" s="1733"/>
      <c r="BA8" s="1469" t="s">
        <v>66</v>
      </c>
      <c r="BB8" s="1348"/>
      <c r="BC8" s="2272" t="s">
        <v>502</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503</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504</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421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66</v>
      </c>
      <c r="AZ20" s="1735"/>
      <c r="BA20" s="1485" t="s">
        <v>66</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470</v>
      </c>
      <c r="AH24" s="1507" t="s">
        <v>470</v>
      </c>
      <c r="AK24" s="1507" t="s">
        <v>507</v>
      </c>
      <c r="AL24" s="1507" t="s">
        <v>470</v>
      </c>
      <c r="AP24" s="1507" t="s">
        <v>470</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Муниципальное унитарное предприятие "Невельские коммунальные сети"</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305</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306</v>
      </c>
      <c r="BI40" s="1155">
        <v>14</v>
      </c>
    </row>
    <row customHeight="1" ht="14.699999999999998">
      <c r="Q41" s="291"/>
      <c r="R41" s="376"/>
      <c r="S41" s="2292" t="s">
        <v>89</v>
      </c>
      <c r="T41" s="2228" t="s">
        <v>510</v>
      </c>
      <c r="U41" s="301"/>
      <c r="V41" s="2293" t="s">
        <v>430</v>
      </c>
      <c r="W41" s="2294"/>
      <c r="X41" s="2294"/>
      <c r="Y41" s="2294"/>
      <c r="Z41" s="2294"/>
      <c r="AA41" s="2294"/>
      <c r="AB41" s="2295"/>
      <c r="AC41" s="2296" t="s">
        <v>431</v>
      </c>
      <c r="AD41" s="2347" t="s">
        <v>511</v>
      </c>
      <c r="AE41" s="2310"/>
      <c r="AF41" s="2310"/>
      <c r="AG41" s="2348"/>
      <c r="AH41" s="2347" t="s">
        <v>512</v>
      </c>
      <c r="AI41" s="2310"/>
      <c r="AJ41" s="2310"/>
      <c r="AK41" s="2348"/>
      <c r="AL41" s="2347" t="s">
        <v>513</v>
      </c>
      <c r="AM41" s="2310"/>
      <c r="AN41" s="2310"/>
      <c r="AO41" s="2348"/>
      <c r="AP41" s="2347" t="s">
        <v>514</v>
      </c>
      <c r="AQ41" s="2310"/>
      <c r="AR41" s="2310"/>
      <c r="AS41" s="2348"/>
      <c r="AT41" s="2293" t="s">
        <v>430</v>
      </c>
      <c r="AU41" s="2294"/>
      <c r="AV41" s="2294"/>
      <c r="AW41" s="2294"/>
      <c r="AX41" s="2294"/>
      <c r="AY41" s="2294"/>
      <c r="AZ41" s="2295"/>
      <c r="BA41" s="2296" t="s">
        <v>431</v>
      </c>
      <c r="BB41" s="2299" t="s">
        <v>433</v>
      </c>
      <c r="BC41" s="2146"/>
      <c r="BI41" s="1155">
        <v>14</v>
      </c>
    </row>
    <row customHeight="1" ht="35.699999999999996">
      <c r="Q42" s="291"/>
      <c r="R42" s="376"/>
      <c r="S42" s="2292"/>
      <c r="T42" s="2228"/>
      <c r="U42" s="1031"/>
      <c r="V42" s="2211" t="s">
        <v>515</v>
      </c>
      <c r="W42" s="2212"/>
      <c r="X42" s="2211" t="s">
        <v>516</v>
      </c>
      <c r="Y42" s="2212"/>
      <c r="Z42" s="2313" t="s">
        <v>517</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515</v>
      </c>
      <c r="AU42" s="2212"/>
      <c r="AV42" s="2211" t="s">
        <v>516</v>
      </c>
      <c r="AW42" s="2212"/>
      <c r="AX42" s="2313" t="s">
        <v>517</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142</v>
      </c>
      <c r="C44" s="1370" t="s">
        <v>143</v>
      </c>
      <c r="D44" s="1370" t="s">
        <v>144</v>
      </c>
      <c r="E44" s="1364" t="s">
        <v>438</v>
      </c>
      <c r="F44" s="1364" t="s">
        <v>439</v>
      </c>
      <c r="G44" s="1364" t="s">
        <v>440</v>
      </c>
      <c r="H44" s="1364" t="s">
        <v>441</v>
      </c>
      <c r="I44" s="1364" t="s">
        <v>442</v>
      </c>
      <c r="J44" s="1364" t="s">
        <v>443</v>
      </c>
      <c r="K44" s="1364" t="s">
        <v>444</v>
      </c>
      <c r="L44" s="1364" t="s">
        <v>423</v>
      </c>
      <c r="Q44" s="291"/>
      <c r="R44" s="376"/>
      <c r="S44" s="2292"/>
      <c r="T44" s="2228"/>
      <c r="U44" s="302"/>
      <c r="V44" s="1479" t="s">
        <v>479</v>
      </c>
      <c r="W44" s="1479" t="s">
        <v>480</v>
      </c>
      <c r="X44" s="1479" t="s">
        <v>479</v>
      </c>
      <c r="Y44" s="1479" t="s">
        <v>480</v>
      </c>
      <c r="Z44" s="1489" t="s">
        <v>447</v>
      </c>
      <c r="AA44" s="2289" t="s">
        <v>448</v>
      </c>
      <c r="AB44" s="2290"/>
      <c r="AC44" s="2298"/>
      <c r="AD44" s="2352"/>
      <c r="AE44" s="2353"/>
      <c r="AF44" s="2353"/>
      <c r="AG44" s="2354"/>
      <c r="AH44" s="2352"/>
      <c r="AI44" s="2353"/>
      <c r="AJ44" s="2353"/>
      <c r="AK44" s="2354"/>
      <c r="AL44" s="2352"/>
      <c r="AM44" s="2353"/>
      <c r="AN44" s="2353"/>
      <c r="AO44" s="2354"/>
      <c r="AP44" s="2352"/>
      <c r="AQ44" s="2353"/>
      <c r="AR44" s="2353"/>
      <c r="AS44" s="2354"/>
      <c r="AT44" s="1479" t="s">
        <v>479</v>
      </c>
      <c r="AU44" s="1479" t="s">
        <v>480</v>
      </c>
      <c r="AV44" s="1479" t="s">
        <v>479</v>
      </c>
      <c r="AW44" s="1479" t="s">
        <v>480</v>
      </c>
      <c r="AX44" s="1489" t="s">
        <v>447</v>
      </c>
      <c r="AY44" s="2289" t="s">
        <v>448</v>
      </c>
      <c r="AZ44" s="2290"/>
      <c r="BA44" s="2298"/>
      <c r="BB44" s="2301"/>
      <c r="BC44" s="2146"/>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130</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547</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407</v>
      </c>
      <c r="BE49" s="500"/>
      <c r="BF49" s="500" t="str">
        <f>IF(T49="","",T49)</f>
        <v/>
      </c>
      <c r="BG49" s="500"/>
      <c r="BH49" s="500"/>
      <c r="BI49" s="511">
        <v>0</v>
      </c>
    </row>
    <row s="1642" customFormat="1" customHeight="1" ht="0">
      <c r="A50" s="1343" t="s">
        <v>266</v>
      </c>
      <c r="B50" s="1343" t="s">
        <v>267</v>
      </c>
      <c r="C50" s="1343" t="s">
        <v>268</v>
      </c>
      <c r="D50" s="1343" t="s">
        <v>547</v>
      </c>
      <c r="E50" s="2278"/>
      <c r="F50" s="2278"/>
      <c r="G50" s="2278"/>
      <c r="H50" s="2278"/>
      <c r="I50" s="2275" t="str">
        <f>S49&amp;".1"</f>
        <v>.1</v>
      </c>
      <c r="J50" s="1343"/>
      <c r="K50" s="1343"/>
      <c r="L50" s="1346" t="s">
        <v>408</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266</v>
      </c>
      <c r="B51" s="1343" t="s">
        <v>267</v>
      </c>
      <c r="C51" s="1343" t="s">
        <v>268</v>
      </c>
      <c r="D51" s="1343" t="s">
        <v>547</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266</v>
      </c>
      <c r="B52" s="1363" t="s">
        <v>267</v>
      </c>
      <c r="C52" s="1363" t="s">
        <v>268</v>
      </c>
      <c r="D52" s="1363" t="s">
        <v>547</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66</v>
      </c>
      <c r="AB52" s="1733"/>
      <c r="AC52" s="1469" t="s">
        <v>66</v>
      </c>
      <c r="AD52" s="2204" t="s">
        <v>66</v>
      </c>
      <c r="AE52" s="2345"/>
      <c r="AF52" s="2224">
        <v>1</v>
      </c>
      <c r="AG52" s="2382"/>
      <c r="AH52" s="2126" t="s">
        <v>66</v>
      </c>
      <c r="AI52" s="2345"/>
      <c r="AJ52" s="2224">
        <v>1</v>
      </c>
      <c r="AK52" s="2346" t="s">
        <v>22</v>
      </c>
      <c r="AL52" s="2126" t="s">
        <v>66</v>
      </c>
      <c r="AM52" s="2211"/>
      <c r="AN52" s="2224">
        <v>1</v>
      </c>
      <c r="AO52" s="2376"/>
      <c r="AP52" s="2377" t="s">
        <v>66</v>
      </c>
      <c r="AQ52" s="311"/>
      <c r="AR52" s="1486">
        <v>1</v>
      </c>
      <c r="AS52" s="1492" t="s">
        <v>22</v>
      </c>
      <c r="AT52" s="751"/>
      <c r="AU52" s="1257"/>
      <c r="AV52" s="751"/>
      <c r="AW52" s="1257"/>
      <c r="AX52" s="1733"/>
      <c r="AY52" s="1469" t="s">
        <v>66</v>
      </c>
      <c r="AZ52" s="1733"/>
      <c r="BA52" s="1469" t="s">
        <v>66</v>
      </c>
      <c r="BB52" s="1348"/>
      <c r="BC52" s="2272" t="s">
        <v>502</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503</v>
      </c>
      <c r="AT53" s="1393"/>
      <c r="AU53" s="1496"/>
      <c r="AV53" s="1393"/>
      <c r="AW53" s="1496"/>
      <c r="AX53" s="1393"/>
      <c r="AY53" s="1393"/>
      <c r="AZ53" s="1393"/>
      <c r="BA53" s="1393"/>
      <c r="BB53" s="1397"/>
      <c r="BC53" s="2273"/>
      <c r="BE53" s="500"/>
      <c r="BF53" s="500"/>
      <c r="BG53" s="500"/>
      <c r="BH53" s="500"/>
      <c r="BI53" s="1155">
        <v>11</v>
      </c>
    </row>
    <row customHeight="1" ht="11.549999999999999">
      <c r="A54" s="1363" t="s">
        <v>266</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504</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266</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266</v>
      </c>
      <c r="B56" s="1363" t="s">
        <v>267</v>
      </c>
      <c r="C56" s="1363" t="s">
        <v>268</v>
      </c>
      <c r="D56" s="1363" t="s">
        <v>547</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266</v>
      </c>
      <c r="B57" s="1363" t="s">
        <v>267</v>
      </c>
      <c r="C57" s="1363" t="s">
        <v>268</v>
      </c>
      <c r="D57" s="1363" t="s">
        <v>547</v>
      </c>
      <c r="E57" s="2278"/>
      <c r="F57" s="2278"/>
      <c r="G57" s="2278"/>
      <c r="H57" s="2278"/>
      <c r="I57" s="2305"/>
      <c r="J57" s="2275"/>
      <c r="K57" s="1363"/>
      <c r="L57" s="1364"/>
      <c r="P57" s="2276"/>
      <c r="Q57" s="2276"/>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266</v>
      </c>
      <c r="B58" s="1343" t="s">
        <v>267</v>
      </c>
      <c r="C58" s="1343" t="s">
        <v>268</v>
      </c>
      <c r="D58" s="1343" t="s">
        <v>547</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547</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78"/>
      <c r="F61" s="2277"/>
      <c r="G61" s="1314"/>
      <c r="H61" s="1314"/>
      <c r="I61" s="1314"/>
      <c r="J61" s="1314"/>
      <c r="K61" s="1314"/>
      <c r="L61" s="1494"/>
      <c r="M61" s="1321"/>
      <c r="N61" s="1321"/>
      <c r="P61" s="1316"/>
      <c r="Q61" s="1317"/>
      <c r="R61" s="1316"/>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77"/>
      <c r="F62" s="1343"/>
      <c r="G62" s="1343"/>
      <c r="H62" s="1343"/>
      <c r="I62" s="1343"/>
      <c r="J62" s="1343"/>
      <c r="K62" s="1343"/>
      <c r="L62" s="1346"/>
      <c r="M62" s="1321"/>
      <c r="N62" s="1321"/>
      <c r="O62" s="518"/>
      <c r="P62" s="380"/>
      <c r="Q62" s="1344"/>
      <c r="R62" s="380"/>
      <c r="S62" s="1322"/>
      <c r="T62" s="1325" t="s">
        <v>421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15E68-2125-F6C6-1EDE-6C36353A4D96}" mc:Ignorable="x14ac xr xr2 xr3">
  <sheetPr>
    <tabColor theme="9" tint="-0.25"/>
  </sheetPr>
  <dimension ref="A1:AH344"/>
  <sheetViews>
    <sheetView showGridLines="0" zoomScale="90" workbookViewId="0" tabSelected="1">
      <pane xSplit="8" ySplit="29" topLeftCell="I161" activePane="bottomRight" state="frozen"/>
      <selection pane="bottomLeft" activeCell="A30" sqref="A30"/>
      <selection pane="topRight" activeCell="I1" sqref="I1"/>
      <selection pane="bottomRight" activeCell="K82" sqref="K82"/>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118"/>
      <c r="C2" s="1167" t="s">
        <v>548</v>
      </c>
      <c r="D2" s="1638"/>
      <c r="E2" s="546">
        <f>B2</f>
        <v>0</v>
      </c>
      <c r="F2" s="547"/>
      <c r="G2" s="1646" t="s">
        <v>549</v>
      </c>
      <c r="H2" s="1646" t="s">
        <v>549</v>
      </c>
      <c r="I2" s="1646" t="s">
        <v>549</v>
      </c>
      <c r="J2" s="2331" t="s">
        <v>549</v>
      </c>
      <c r="K2" s="2331" t="s">
        <v>549</v>
      </c>
      <c r="L2" s="289" t="s">
        <v>550</v>
      </c>
      <c r="M2" s="543"/>
      <c r="AH2" s="1631">
        <v>0</v>
      </c>
    </row>
    <row s="1642" customFormat="1" customHeight="1" ht="0.75" hidden="1">
      <c r="B3" s="2118"/>
      <c r="C3" s="1167"/>
      <c r="D3" s="548"/>
      <c r="E3" s="549"/>
      <c r="F3" s="550" t="s">
        <v>551</v>
      </c>
      <c r="G3" s="551"/>
      <c r="H3" s="1013">
        <f>H4*H5+H6</f>
        <v>0</v>
      </c>
      <c r="I3" s="551">
        <f>I4*I5+I6</f>
        <v>0</v>
      </c>
      <c r="J3" s="1373">
        <f>J4*J5+J6</f>
        <v>0</v>
      </c>
      <c r="K3" s="1373">
        <f>K4*K5+K6</f>
        <v>0</v>
      </c>
      <c r="L3" s="552"/>
      <c r="AH3" s="1636">
        <v>0</v>
      </c>
    </row>
    <row customHeight="1" ht="23.25" hidden="1">
      <c r="B4" s="2118"/>
      <c r="C4" s="1167"/>
      <c r="D4" s="1638"/>
      <c r="E4" s="546" t="str">
        <f>B2&amp;".1"</f>
        <v>.1</v>
      </c>
      <c r="F4" s="553" t="s">
        <v>552</v>
      </c>
      <c r="G4" s="554"/>
      <c r="H4" s="541"/>
      <c r="I4" s="541"/>
      <c r="J4" s="751"/>
      <c r="K4" s="751"/>
      <c r="L4" s="289" t="s">
        <v>553</v>
      </c>
      <c r="M4" s="543"/>
      <c r="AH4" s="1631">
        <v>0</v>
      </c>
    </row>
    <row customHeight="1" ht="18.75" hidden="1">
      <c r="B5" s="2118"/>
      <c r="C5" s="1167"/>
      <c r="D5" s="1638"/>
      <c r="E5" s="546" t="str">
        <f>B2&amp;".2"</f>
        <v>.2</v>
      </c>
      <c r="F5" s="553" t="s">
        <v>554</v>
      </c>
      <c r="G5" s="1646" t="s">
        <v>555</v>
      </c>
      <c r="H5" s="541"/>
      <c r="I5" s="541"/>
      <c r="J5" s="751"/>
      <c r="K5" s="751"/>
      <c r="L5" s="289"/>
      <c r="M5" s="543"/>
      <c r="AH5" s="1631">
        <v>0</v>
      </c>
    </row>
    <row customHeight="1" ht="18.75" hidden="1">
      <c r="B6" s="2118"/>
      <c r="C6" s="1167"/>
      <c r="D6" s="1638"/>
      <c r="E6" s="546" t="str">
        <f>B2&amp;".3"</f>
        <v>.3</v>
      </c>
      <c r="F6" s="553" t="s">
        <v>556</v>
      </c>
      <c r="G6" s="1646" t="s">
        <v>555</v>
      </c>
      <c r="H6" s="541"/>
      <c r="I6" s="541"/>
      <c r="J6" s="751"/>
      <c r="K6" s="751"/>
      <c r="L6" s="289"/>
      <c r="M6" s="543"/>
      <c r="AH6" s="1631">
        <v>0</v>
      </c>
    </row>
    <row customHeight="1" ht="18.75" hidden="1">
      <c r="B7" s="2118"/>
      <c r="C7" s="1167"/>
      <c r="D7" s="1638"/>
      <c r="E7" s="546" t="str">
        <f>B2&amp;".4"</f>
        <v>.4</v>
      </c>
      <c r="F7" s="553" t="s">
        <v>557</v>
      </c>
      <c r="G7" s="1646" t="s">
        <v>549</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555</v>
      </c>
      <c r="H9" s="541"/>
      <c r="I9" s="541"/>
      <c r="J9" s="751"/>
      <c r="K9" s="751"/>
      <c r="L9" s="542" t="s">
        <v>558</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559</v>
      </c>
      <c r="H11" s="541"/>
      <c r="I11" s="541"/>
      <c r="J11" s="751"/>
      <c r="K11" s="751"/>
      <c r="L11" s="289" t="s">
        <v>560</v>
      </c>
      <c r="M11" s="543"/>
      <c r="AH11" s="1631">
        <v>0</v>
      </c>
    </row>
    <row customHeight="1" ht="11.25" hidden="1">
      <c r="J12" s="1635"/>
      <c r="K12" s="1635"/>
      <c r="AH12" s="1631">
        <v>0</v>
      </c>
    </row>
    <row customHeight="1" ht="22.5" hidden="1">
      <c r="D13" s="1638"/>
      <c r="E13" s="546"/>
      <c r="F13" s="540"/>
      <c r="G13" s="969" t="s">
        <v>561</v>
      </c>
      <c r="H13" s="545"/>
      <c r="I13" s="545"/>
      <c r="J13" s="545"/>
      <c r="K13" s="545"/>
      <c r="L13" s="745" t="s">
        <v>562</v>
      </c>
      <c r="M13" s="543"/>
      <c r="AH13" s="1631">
        <v>0</v>
      </c>
    </row>
    <row customHeight="1" ht="11.25" hidden="1">
      <c r="J14" s="1635"/>
      <c r="K14" s="1635"/>
      <c r="AH14" s="1631">
        <v>0</v>
      </c>
    </row>
    <row customHeight="1" ht="22.5" hidden="1">
      <c r="D15" s="1638"/>
      <c r="E15" s="546"/>
      <c r="F15" s="540"/>
      <c r="G15" s="1646" t="s">
        <v>563</v>
      </c>
      <c r="H15" s="545"/>
      <c r="I15" s="545"/>
      <c r="J15" s="545"/>
      <c r="K15" s="545"/>
      <c r="L15" s="289" t="s">
        <v>564</v>
      </c>
      <c r="M15" s="543"/>
      <c r="AH15" s="1631">
        <v>0</v>
      </c>
    </row>
    <row customHeight="1" ht="11.25" hidden="1">
      <c r="J16" s="1635"/>
      <c r="K16" s="1635"/>
      <c r="AH16" s="1631">
        <v>0</v>
      </c>
    </row>
    <row customHeight="1" ht="22.5" hidden="1">
      <c r="D17" s="1638"/>
      <c r="E17" s="546"/>
      <c r="F17" s="540"/>
      <c r="G17" s="1646" t="s">
        <v>565</v>
      </c>
      <c r="H17" s="545"/>
      <c r="I17" s="545"/>
      <c r="J17" s="545"/>
      <c r="K17" s="545"/>
      <c r="L17" s="289" t="s">
        <v>566</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7"/>
      <c r="G21" s="2267"/>
      <c r="H21" s="2267"/>
      <c r="I21" s="2267"/>
      <c r="J21" s="2267"/>
      <c r="K21" s="2267"/>
      <c r="L21" s="556"/>
      <c r="AH21" s="1631">
        <v>24</v>
      </c>
    </row>
    <row customHeight="1" ht="25.2">
      <c r="E22" s="2268" t="str">
        <f>IF(org=0,"Не определено",org)</f>
        <v>Муниципальное унитарное предприятие "Невельские коммунальные сети"</v>
      </c>
      <c r="F22" s="2268"/>
      <c r="G22" s="2268"/>
      <c r="H22" s="2268"/>
      <c r="I22" s="2268"/>
      <c r="J22" s="2268"/>
      <c r="K22" s="2268"/>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118</v>
      </c>
      <c r="J24" s="889" t="s">
        <v>123</v>
      </c>
      <c r="K24" s="889" t="s">
        <v>125</v>
      </c>
      <c r="AH24" s="1636">
        <v>1</v>
      </c>
    </row>
    <row customHeight="1" ht="11.549999999999999">
      <c r="E25" s="711"/>
      <c r="F25" s="2386" t="s">
        <v>106</v>
      </c>
      <c r="G25" s="2387"/>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412" t="str">
        <f>IF(J24="","",INDEX(DIFFERENTIATION_UNMERGE_VD,MATCH(J24,DIFFERENTIATION_ID_DIFF,0)))</f>
        <v>Производство тепловой энергии. Некомбинированная выработка</v>
      </c>
      <c r="K25" s="2412" t="str">
        <f>IF(K24="","",INDEX(DIFFERENTIATION_UNMERGE_VD,MATCH(K24,DIFFERENTIATION_ID_DIFF,0)))</f>
        <v>Производство тепловой энергии. Некомбинированная выработка</v>
      </c>
      <c r="L25" s="2146"/>
      <c r="AH25" s="1631">
        <v>11</v>
      </c>
    </row>
    <row customHeight="1" ht="11.549999999999999">
      <c r="E26" s="711"/>
      <c r="F26" s="2386" t="s">
        <v>567</v>
      </c>
      <c r="G26" s="2387"/>
      <c r="H26" s="1652" t="str">
        <f>IF(H24="","",INDEX(DIFFERENTIATION_UNMERGE_AREA,MATCH(H24,DIFFERENTIATION_ID_DIFF,0)))</f>
        <v/>
      </c>
      <c r="I26" s="1652" t="str">
        <f>IF(I24="","",INDEX(DIFFERENTIATION_UNMERGE_AREA,MATCH(I24,DIFFERENTIATION_ID_DIFF,0)))</f>
        <v>Территория 1</v>
      </c>
      <c r="J26" s="2412" t="str">
        <f>IF(J24="","",INDEX(DIFFERENTIATION_UNMERGE_AREA,MATCH(J24,DIFFERENTIATION_ID_DIFF,0)))</f>
        <v>Территория 1</v>
      </c>
      <c r="K26" s="2412" t="str">
        <f>IF(K24="","",INDEX(DIFFERENTIATION_UNMERGE_AREA,MATCH(K24,DIFFERENTIATION_ID_DIFF,0)))</f>
        <v>Территория 1</v>
      </c>
      <c r="L26" s="2146"/>
      <c r="AH26" s="1631">
        <v>11</v>
      </c>
    </row>
    <row customHeight="1" ht="23.64582061767578">
      <c r="E27" s="711"/>
      <c r="F27" s="2386" t="s">
        <v>568</v>
      </c>
      <c r="G27" s="2387"/>
      <c r="H27" s="1652" t="str">
        <f>IF(H24="","",INDEX(DIFFERENTIATION_UNMERGE_SYSTEM,MATCH(H24,DIFFERENTIATION_ID_DIFF,0)))</f>
        <v/>
      </c>
      <c r="I27" s="1652" t="str">
        <f>IF(I24="","",INDEX(DIFFERENTIATION_UNMERGE_SYSTEM,MATCH(I24,DIFFERENTIATION_ID_DIFF,0)))</f>
        <v>Теплоснабжение за исключением сел Горнозаводск и Шебунино</v>
      </c>
      <c r="J27" s="2412" t="str">
        <f>IF(J24="","",INDEX(DIFFERENTIATION_UNMERGE_SYSTEM,MATCH(J24,DIFFERENTIATION_ID_DIFF,0)))</f>
        <v>Теплоснабжение с.Горнозаводск</v>
      </c>
      <c r="K27" s="2412" t="str">
        <f>IF(K24="","",INDEX(DIFFERENTIATION_UNMERGE_SYSTEM,MATCH(K24,DIFFERENTIATION_ID_DIFF,0)))</f>
        <v>Теплоснабжение с.Шебунино</v>
      </c>
      <c r="L27" s="2146"/>
      <c r="AH27" s="1631">
        <v>11</v>
      </c>
    </row>
    <row customHeight="1" ht="11.549999999999999">
      <c r="E28" s="2388" t="s">
        <v>305</v>
      </c>
      <c r="F28" s="2389"/>
      <c r="G28" s="2389"/>
      <c r="H28" s="1645"/>
      <c r="I28" s="1645"/>
      <c r="J28" s="2386"/>
      <c r="K28" s="2386"/>
      <c r="L28" s="2146"/>
      <c r="AH28" s="1631">
        <v>11</v>
      </c>
    </row>
    <row customHeight="1" ht="24">
      <c r="E29" s="1646" t="s">
        <v>89</v>
      </c>
      <c r="F29" s="1653" t="s">
        <v>307</v>
      </c>
      <c r="G29" s="1653" t="s">
        <v>569</v>
      </c>
      <c r="H29" s="1653" t="s">
        <v>308</v>
      </c>
      <c r="I29" s="1653" t="s">
        <v>308</v>
      </c>
      <c r="J29" s="2331" t="s">
        <v>308</v>
      </c>
      <c r="K29" s="2331" t="s">
        <v>308</v>
      </c>
      <c r="L29" s="2146"/>
      <c r="AH29" s="1631">
        <v>23</v>
      </c>
    </row>
    <row customHeight="1" ht="19.95">
      <c r="D30" s="1638"/>
      <c r="E30" s="546">
        <f>FHD_NUM_P_1</f>
        <v>1</v>
      </c>
      <c r="F30" s="1877" t="str">
        <f>FHD_P_1</f>
        <v>Выручка от регулируемого вида деятельности с распределением по видам деятельности</v>
      </c>
      <c r="G30" s="1875" t="s">
        <v>555</v>
      </c>
      <c r="H30" s="557"/>
      <c r="I30" s="557">
        <v>686305.4</v>
      </c>
      <c r="J30" s="557">
        <v>92628.3</v>
      </c>
      <c r="K30" s="557">
        <v>26929.7</v>
      </c>
      <c r="L30" s="289" t="str">
        <f>FHD_NOTE_P_1</f>
        <v>Указывается выручка от регулируемого вида деятельности с распределением по видам деятельности.</v>
      </c>
      <c r="M30" s="543"/>
      <c r="AH30" s="1631">
        <v>19</v>
      </c>
    </row>
    <row customHeight="1" ht="21.14582061767578">
      <c r="D31" s="1638"/>
      <c r="E31" s="546">
        <f>FHD_NUM_P_2</f>
        <v>2</v>
      </c>
      <c r="F31" s="1877" t="str">
        <f>FHD_P_2</f>
        <v>Себестоимость производимых товаров (оказываемых услуг) по регулируемому виду деятельности, включая:</v>
      </c>
      <c r="G31" s="1875" t="s">
        <v>555</v>
      </c>
      <c r="H31" s="558">
        <f>SUMIF($M32:$M94,$M31,H32:H94)</f>
        <v>0</v>
      </c>
      <c r="I31" s="558">
        <f>SUMIF($M32:$M94,$M31,I32:I94)</f>
        <v>716361.70650126</v>
      </c>
      <c r="J31" s="558">
        <f>SUMIF($M32:$M94,$M31,J32:J94)</f>
        <v>90394.77478</v>
      </c>
      <c r="K31" s="558">
        <f>SUMIF($M32:$M94,$M31,K32:K94)</f>
        <v>37293.2519146</v>
      </c>
      <c r="L31" s="289" t="str">
        <f>FHD_NOTE_P_2</f>
        <v>Указывается суммарная себестоимость производимых товаров.</v>
      </c>
      <c r="M31" s="1636" t="s">
        <v>570</v>
      </c>
      <c r="AH31" s="1631">
        <v>11</v>
      </c>
    </row>
    <row customHeight="1" ht="20.31248728434245">
      <c r="D32" s="1638"/>
      <c r="E32" s="546" t="str">
        <f>FHD_NUM_P_3</f>
        <v>2.1</v>
      </c>
      <c r="F32" s="1524" t="str">
        <f>FHD_P_3</f>
        <v>Расходы на приобретаемую тепловую энергию (мощность), теплоноситель</v>
      </c>
      <c r="G32" s="1875" t="s">
        <v>555</v>
      </c>
      <c r="H32" s="557"/>
      <c r="I32" s="557">
        <v>0</v>
      </c>
      <c r="J32" s="557">
        <v>0</v>
      </c>
      <c r="K32" s="557">
        <v>0</v>
      </c>
      <c r="L32" s="289" t="str">
        <f>FHD_NOTE_P_3</f>
        <v/>
      </c>
      <c r="M32" s="1636" t="str">
        <f>IF((LEN(E32)-LEN(SUBSTITUTE(E32,".","")))/LEN(".")=1,"p","")</f>
        <v>p</v>
      </c>
      <c r="AH32" s="1631">
        <v>11</v>
      </c>
    </row>
    <row customHeight="1" ht="32.812487284342446">
      <c r="A33" s="2390"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5" t="s">
        <v>555</v>
      </c>
      <c r="H33" s="558">
        <f>SUMIF($F34:$F58,$F3,H34:H58)</f>
        <v>0</v>
      </c>
      <c r="I33" s="558">
        <f>SUMIF($F34:$F58,$F3,I34:I58)</f>
        <v>338235.43650126</v>
      </c>
      <c r="J33" s="558">
        <f>SUMIF($F34:$F58,$F3,J34:J58)</f>
        <v>42628.05478</v>
      </c>
      <c r="K33" s="558">
        <f>SUMIF($F34:$F58,$F3,K34:K58)</f>
        <v>9209.1919146</v>
      </c>
      <c r="L33" s="289" t="str">
        <f>FHD_NOTE_P_4</f>
        <v>Указываются суммарные расходы на приобретение топлива всех видов.</v>
      </c>
      <c r="M33" s="1636" t="str">
        <f>IF((LEN(E33)-LEN(SUBSTITUTE(E33,".","")))/LEN(".")=1,"p","")</f>
        <v>p</v>
      </c>
      <c r="AH33" s="1631">
        <v>0</v>
      </c>
    </row>
    <row s="1641" customFormat="1" customHeight="1" ht="0.75">
      <c r="A34" s="2390"/>
      <c r="B34" s="2391" t="str">
        <f>E33&amp;".0"</f>
        <v>2.2.0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c r="A35" s="2390"/>
      <c r="B35" s="2391"/>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c r="A36" s="2390"/>
      <c r="B36" s="2391"/>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c r="A37" s="2390"/>
      <c r="B37" s="2391"/>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c r="A38" s="2390"/>
      <c r="B38" s="2391"/>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c r="A39" s="2390"/>
      <c r="B39" s="2391"/>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847" customFormat="1" customHeight="1" ht="23.25">
      <c r="A40" s="987"/>
      <c r="B40" s="2144" t="str">
        <f>E33&amp;".1"</f>
        <v>2.2.1</v>
      </c>
      <c r="C40" s="1324" t="s">
        <v>548</v>
      </c>
      <c r="D40" s="683" t="s">
        <v>121</v>
      </c>
      <c r="E40" s="546" t="str">
        <f>B40</f>
        <v>2.2.1</v>
      </c>
      <c r="F40" s="547" t="s">
        <v>572</v>
      </c>
      <c r="G40" s="2331" t="s">
        <v>549</v>
      </c>
      <c r="H40" s="2331" t="s">
        <v>549</v>
      </c>
      <c r="I40" s="2331" t="s">
        <v>549</v>
      </c>
      <c r="J40" s="2331" t="s">
        <v>549</v>
      </c>
      <c r="K40" s="2331" t="s">
        <v>549</v>
      </c>
      <c r="L40" s="1525" t="s">
        <v>550</v>
      </c>
      <c r="M40" s="734"/>
      <c r="N40" s="1642"/>
      <c r="O40" s="1642"/>
      <c r="P40" s="1366"/>
      <c r="Q40" s="1366"/>
      <c r="R40" s="1366"/>
      <c r="S40" s="1366"/>
      <c r="T40" s="1642"/>
      <c r="U40" s="1366"/>
      <c r="V40" s="1366"/>
      <c r="W40" s="736"/>
      <c r="X40" s="1366"/>
      <c r="Y40" s="1366"/>
      <c r="Z40" s="1366"/>
      <c r="AA40" s="1366"/>
      <c r="AB40" s="1366"/>
      <c r="AC40" s="1632"/>
      <c r="AD40" s="1632"/>
      <c r="AE40" s="1632"/>
      <c r="AF40" s="1632"/>
      <c r="AG40" s="1632"/>
      <c r="AH40" s="1635">
        <v>0</v>
      </c>
    </row>
    <row s="622" customFormat="1" customHeight="1" ht="0.75" hidden="1">
      <c r="A41" s="1642"/>
      <c r="B41" s="2144" t="str">
        <f>E33&amp;".0"</f>
        <v>2.2.0</v>
      </c>
      <c r="C41" s="1324"/>
      <c r="D41" s="1324"/>
      <c r="E41" s="549"/>
      <c r="F41" s="550" t="s">
        <v>551</v>
      </c>
      <c r="G41" s="1373"/>
      <c r="H41" s="1373">
        <f>H42*H43+H44</f>
        <v>0</v>
      </c>
      <c r="I41" s="1373">
        <f>I42*I43+I44</f>
        <v>28991.07884365</v>
      </c>
      <c r="J41" s="1373">
        <f>J42*J43+J44</f>
        <v>42628.05478</v>
      </c>
      <c r="K41" s="1373">
        <f>K42*K43+K44</f>
        <v>9209.1919146</v>
      </c>
      <c r="L41" s="1376"/>
      <c r="M41" s="1642"/>
      <c r="N41" s="1642"/>
      <c r="O41" s="1642"/>
      <c r="P41" s="1642"/>
      <c r="Q41" s="1642"/>
      <c r="R41" s="1642"/>
      <c r="S41" s="1642"/>
      <c r="T41" s="1642"/>
      <c r="U41" s="1642"/>
      <c r="V41" s="1642"/>
      <c r="W41" s="1642"/>
      <c r="X41" s="1642"/>
      <c r="Y41" s="1642"/>
      <c r="Z41" s="1642"/>
      <c r="AA41" s="1642"/>
      <c r="AB41" s="1642"/>
      <c r="AC41" s="1642"/>
      <c r="AD41" s="1642"/>
      <c r="AE41" s="1642"/>
      <c r="AF41" s="1642"/>
      <c r="AG41" s="1642"/>
      <c r="AH41" s="1642">
        <v>0</v>
      </c>
    </row>
    <row s="1847" customFormat="1" customHeight="1" ht="23.25">
      <c r="A42" s="987"/>
      <c r="B42" s="2144" t="str">
        <f>E33&amp;".0"</f>
        <v>2.2.0</v>
      </c>
      <c r="C42" s="1324"/>
      <c r="D42" s="2157"/>
      <c r="E42" s="546" t="str">
        <f>B40&amp;".1"</f>
        <v>2.2.1.1</v>
      </c>
      <c r="F42" s="553" t="s">
        <v>552</v>
      </c>
      <c r="G42" s="554" t="s">
        <v>573</v>
      </c>
      <c r="H42" s="751"/>
      <c r="I42" s="751">
        <v>4421.35</v>
      </c>
      <c r="J42" s="751">
        <v>7418.8</v>
      </c>
      <c r="K42" s="751">
        <v>1579.8</v>
      </c>
      <c r="L42" s="1525" t="s">
        <v>553</v>
      </c>
      <c r="M42" s="734"/>
      <c r="N42" s="1642"/>
      <c r="O42" s="1642"/>
      <c r="P42" s="1366"/>
      <c r="Q42" s="1366"/>
      <c r="R42" s="1366"/>
      <c r="S42" s="1366"/>
      <c r="T42" s="1642"/>
      <c r="U42" s="1366"/>
      <c r="V42" s="1366"/>
      <c r="W42" s="736"/>
      <c r="X42" s="1366"/>
      <c r="Y42" s="1366"/>
      <c r="Z42" s="1366"/>
      <c r="AA42" s="1366"/>
      <c r="AB42" s="1366"/>
      <c r="AC42" s="1632"/>
      <c r="AD42" s="1632"/>
      <c r="AE42" s="1632"/>
      <c r="AF42" s="1632"/>
      <c r="AG42" s="1632"/>
      <c r="AH42" s="1635">
        <v>0</v>
      </c>
    </row>
    <row s="1847" customFormat="1" customHeight="1" ht="18.75">
      <c r="A43" s="987"/>
      <c r="B43" s="2144" t="str">
        <f>E33&amp;".0"</f>
        <v>2.2.0</v>
      </c>
      <c r="C43" s="1324"/>
      <c r="D43" s="2157"/>
      <c r="E43" s="546" t="str">
        <f>B40&amp;".2"</f>
        <v>2.2.1.2</v>
      </c>
      <c r="F43" s="553" t="s">
        <v>554</v>
      </c>
      <c r="G43" s="2331" t="s">
        <v>555</v>
      </c>
      <c r="H43" s="751"/>
      <c r="I43" s="751">
        <v>6.103899</v>
      </c>
      <c r="J43" s="751">
        <v>5.07435</v>
      </c>
      <c r="K43" s="751">
        <v>4.933727</v>
      </c>
      <c r="L43" s="1525"/>
      <c r="M43" s="734"/>
      <c r="N43" s="1642"/>
      <c r="O43" s="1642"/>
      <c r="P43" s="1366"/>
      <c r="Q43" s="1366"/>
      <c r="R43" s="1366"/>
      <c r="S43" s="1366"/>
      <c r="T43" s="1642"/>
      <c r="U43" s="1366"/>
      <c r="V43" s="1366"/>
      <c r="W43" s="736"/>
      <c r="X43" s="1366"/>
      <c r="Y43" s="1366"/>
      <c r="Z43" s="1366"/>
      <c r="AA43" s="1366"/>
      <c r="AB43" s="1366"/>
      <c r="AC43" s="1632"/>
      <c r="AD43" s="1632"/>
      <c r="AE43" s="1632"/>
      <c r="AF43" s="1632"/>
      <c r="AG43" s="1632"/>
      <c r="AH43" s="1635">
        <v>0</v>
      </c>
    </row>
    <row s="1847" customFormat="1" customHeight="1" ht="18.75">
      <c r="A44" s="987"/>
      <c r="B44" s="2144" t="str">
        <f>E33&amp;".0"</f>
        <v>2.2.0</v>
      </c>
      <c r="C44" s="1324"/>
      <c r="D44" s="2157"/>
      <c r="E44" s="546" t="str">
        <f>B40&amp;".3"</f>
        <v>2.2.1.3</v>
      </c>
      <c r="F44" s="553" t="s">
        <v>556</v>
      </c>
      <c r="G44" s="2331" t="s">
        <v>555</v>
      </c>
      <c r="H44" s="751"/>
      <c r="I44" s="751">
        <v>2003.605</v>
      </c>
      <c r="J44" s="751">
        <v>4982.467</v>
      </c>
      <c r="K44" s="751">
        <v>1414.89</v>
      </c>
      <c r="L44" s="1525"/>
      <c r="M44" s="734"/>
      <c r="N44" s="1642"/>
      <c r="O44" s="1642"/>
      <c r="P44" s="1366"/>
      <c r="Q44" s="1366"/>
      <c r="R44" s="1366"/>
      <c r="S44" s="1366"/>
      <c r="T44" s="1642"/>
      <c r="U44" s="1366"/>
      <c r="V44" s="1366"/>
      <c r="W44" s="736"/>
      <c r="X44" s="1366"/>
      <c r="Y44" s="1366"/>
      <c r="Z44" s="1366"/>
      <c r="AA44" s="1366"/>
      <c r="AB44" s="1366"/>
      <c r="AC44" s="1632"/>
      <c r="AD44" s="1632"/>
      <c r="AE44" s="1632"/>
      <c r="AF44" s="1632"/>
      <c r="AG44" s="1632"/>
      <c r="AH44" s="1635">
        <v>0</v>
      </c>
    </row>
    <row s="1847" customFormat="1" customHeight="1" ht="18.75">
      <c r="A45" s="987"/>
      <c r="B45" s="2144" t="str">
        <f>E33&amp;".0"</f>
        <v>2.2.0</v>
      </c>
      <c r="C45" s="1324"/>
      <c r="D45" s="2157"/>
      <c r="E45" s="546" t="str">
        <f>B40&amp;".4"</f>
        <v>2.2.1.4</v>
      </c>
      <c r="F45" s="553" t="s">
        <v>557</v>
      </c>
      <c r="G45" s="2331" t="s">
        <v>549</v>
      </c>
      <c r="H45" s="555"/>
      <c r="I45" s="555" t="s">
        <v>574</v>
      </c>
      <c r="J45" s="555" t="s">
        <v>574</v>
      </c>
      <c r="K45" s="555" t="s">
        <v>574</v>
      </c>
      <c r="L45" s="1525"/>
      <c r="M45" s="734"/>
      <c r="N45" s="1642"/>
      <c r="O45" s="1642"/>
      <c r="P45" s="1366"/>
      <c r="Q45" s="1366"/>
      <c r="R45" s="1366"/>
      <c r="S45" s="1366"/>
      <c r="T45" s="1642"/>
      <c r="U45" s="1366"/>
      <c r="V45" s="1366"/>
      <c r="W45" s="736"/>
      <c r="X45" s="1366"/>
      <c r="Y45" s="1366"/>
      <c r="Z45" s="1366"/>
      <c r="AA45" s="1366"/>
      <c r="AB45" s="1366"/>
      <c r="AC45" s="1632"/>
      <c r="AD45" s="1632"/>
      <c r="AE45" s="1632"/>
      <c r="AF45" s="1632"/>
      <c r="AG45" s="1632"/>
      <c r="AH45" s="1635">
        <v>0</v>
      </c>
    </row>
    <row s="1847" customFormat="1" customHeight="1" ht="23.25">
      <c r="A46" s="987"/>
      <c r="B46" s="2144" t="str">
        <f>E33&amp;".2"</f>
        <v>2.2.2</v>
      </c>
      <c r="C46" s="1324" t="s">
        <v>548</v>
      </c>
      <c r="D46" s="683" t="s">
        <v>121</v>
      </c>
      <c r="E46" s="546" t="str">
        <f>B46</f>
        <v>2.2.2</v>
      </c>
      <c r="F46" s="547" t="s">
        <v>575</v>
      </c>
      <c r="G46" s="2331" t="s">
        <v>549</v>
      </c>
      <c r="H46" s="2331" t="s">
        <v>549</v>
      </c>
      <c r="I46" s="2331" t="s">
        <v>549</v>
      </c>
      <c r="J46" s="2331" t="s">
        <v>549</v>
      </c>
      <c r="K46" s="2331" t="s">
        <v>549</v>
      </c>
      <c r="L46" s="1525" t="s">
        <v>550</v>
      </c>
      <c r="M46" s="734"/>
      <c r="N46" s="1642"/>
      <c r="O46" s="1642"/>
      <c r="P46" s="1366"/>
      <c r="Q46" s="1366"/>
      <c r="R46" s="1366"/>
      <c r="S46" s="1366"/>
      <c r="T46" s="1642"/>
      <c r="U46" s="1366"/>
      <c r="V46" s="1366"/>
      <c r="W46" s="736"/>
      <c r="X46" s="1366"/>
      <c r="Y46" s="1366"/>
      <c r="Z46" s="1366"/>
      <c r="AA46" s="1366"/>
      <c r="AB46" s="1366"/>
      <c r="AC46" s="1632"/>
      <c r="AD46" s="1632"/>
      <c r="AE46" s="1632"/>
      <c r="AF46" s="1632"/>
      <c r="AG46" s="1632"/>
      <c r="AH46" s="1635">
        <v>0</v>
      </c>
    </row>
    <row s="622" customFormat="1" customHeight="1" ht="0.75" hidden="1">
      <c r="A47" s="1642"/>
      <c r="B47" s="2144" t="str">
        <f>E33&amp;".1"</f>
        <v>2.2.1</v>
      </c>
      <c r="C47" s="1324"/>
      <c r="D47" s="1324"/>
      <c r="E47" s="549"/>
      <c r="F47" s="550" t="s">
        <v>551</v>
      </c>
      <c r="G47" s="1373"/>
      <c r="H47" s="1373">
        <f>H48*H49+H50</f>
        <v>0</v>
      </c>
      <c r="I47" s="1373">
        <f>I48*I49+I50</f>
        <v>213644.60833901</v>
      </c>
      <c r="J47" s="1373">
        <f>J48*J49+J50</f>
        <v>0</v>
      </c>
      <c r="K47" s="1373">
        <f>K48*K49+K50</f>
        <v>0</v>
      </c>
      <c r="L47" s="1376"/>
      <c r="M47" s="1642"/>
      <c r="N47" s="1642"/>
      <c r="O47" s="1642"/>
      <c r="P47" s="1642"/>
      <c r="Q47" s="1642"/>
      <c r="R47" s="1642"/>
      <c r="S47" s="1642"/>
      <c r="T47" s="1642"/>
      <c r="U47" s="1642"/>
      <c r="V47" s="1642"/>
      <c r="W47" s="1642"/>
      <c r="X47" s="1642"/>
      <c r="Y47" s="1642"/>
      <c r="Z47" s="1642"/>
      <c r="AA47" s="1642"/>
      <c r="AB47" s="1642"/>
      <c r="AC47" s="1642"/>
      <c r="AD47" s="1642"/>
      <c r="AE47" s="1642"/>
      <c r="AF47" s="1642"/>
      <c r="AG47" s="1642"/>
      <c r="AH47" s="1642">
        <v>0</v>
      </c>
    </row>
    <row s="1847" customFormat="1" customHeight="1" ht="23.25">
      <c r="A48" s="987"/>
      <c r="B48" s="2144" t="str">
        <f>E33&amp;".1"</f>
        <v>2.2.1</v>
      </c>
      <c r="C48" s="1324"/>
      <c r="D48" s="2157"/>
      <c r="E48" s="546" t="str">
        <f>B46&amp;".1"</f>
        <v>2.2.2.1</v>
      </c>
      <c r="F48" s="553" t="s">
        <v>552</v>
      </c>
      <c r="G48" s="554" t="s">
        <v>576</v>
      </c>
      <c r="H48" s="751"/>
      <c r="I48" s="751">
        <v>4206.49</v>
      </c>
      <c r="J48" s="751"/>
      <c r="K48" s="751"/>
      <c r="L48" s="1525" t="s">
        <v>553</v>
      </c>
      <c r="M48" s="734"/>
      <c r="N48" s="1642"/>
      <c r="O48" s="1642"/>
      <c r="P48" s="1366"/>
      <c r="Q48" s="1366"/>
      <c r="R48" s="1366"/>
      <c r="S48" s="1366"/>
      <c r="T48" s="1642"/>
      <c r="U48" s="1366"/>
      <c r="V48" s="1366"/>
      <c r="W48" s="736"/>
      <c r="X48" s="1366"/>
      <c r="Y48" s="1366"/>
      <c r="Z48" s="1366"/>
      <c r="AA48" s="1366"/>
      <c r="AB48" s="1366"/>
      <c r="AC48" s="1632"/>
      <c r="AD48" s="1632"/>
      <c r="AE48" s="1632"/>
      <c r="AF48" s="1632"/>
      <c r="AG48" s="1632"/>
      <c r="AH48" s="1635">
        <v>0</v>
      </c>
    </row>
    <row s="1847" customFormat="1" customHeight="1" ht="18.75">
      <c r="A49" s="987"/>
      <c r="B49" s="2144" t="str">
        <f>E33&amp;".1"</f>
        <v>2.2.1</v>
      </c>
      <c r="C49" s="1324"/>
      <c r="D49" s="2157"/>
      <c r="E49" s="546" t="str">
        <f>B46&amp;".2"</f>
        <v>2.2.2.2</v>
      </c>
      <c r="F49" s="553" t="s">
        <v>554</v>
      </c>
      <c r="G49" s="2331" t="s">
        <v>555</v>
      </c>
      <c r="H49" s="751"/>
      <c r="I49" s="751">
        <v>48.705949</v>
      </c>
      <c r="J49" s="751"/>
      <c r="K49" s="751"/>
      <c r="L49" s="1525"/>
      <c r="M49" s="734"/>
      <c r="N49" s="1642"/>
      <c r="O49" s="1642"/>
      <c r="P49" s="1366"/>
      <c r="Q49" s="1366"/>
      <c r="R49" s="1366"/>
      <c r="S49" s="1366"/>
      <c r="T49" s="1642"/>
      <c r="U49" s="1366"/>
      <c r="V49" s="1366"/>
      <c r="W49" s="736"/>
      <c r="X49" s="1366"/>
      <c r="Y49" s="1366"/>
      <c r="Z49" s="1366"/>
      <c r="AA49" s="1366"/>
      <c r="AB49" s="1366"/>
      <c r="AC49" s="1632"/>
      <c r="AD49" s="1632"/>
      <c r="AE49" s="1632"/>
      <c r="AF49" s="1632"/>
      <c r="AG49" s="1632"/>
      <c r="AH49" s="1635">
        <v>0</v>
      </c>
    </row>
    <row s="1847" customFormat="1" customHeight="1" ht="18.75">
      <c r="A50" s="987"/>
      <c r="B50" s="2144" t="str">
        <f>E33&amp;".1"</f>
        <v>2.2.1</v>
      </c>
      <c r="C50" s="1324"/>
      <c r="D50" s="2157"/>
      <c r="E50" s="546" t="str">
        <f>B46&amp;".3"</f>
        <v>2.2.2.3</v>
      </c>
      <c r="F50" s="553" t="s">
        <v>556</v>
      </c>
      <c r="G50" s="2331" t="s">
        <v>555</v>
      </c>
      <c r="H50" s="751"/>
      <c r="I50" s="751">
        <v>8763.52093</v>
      </c>
      <c r="J50" s="751"/>
      <c r="K50" s="751"/>
      <c r="L50" s="1525"/>
      <c r="M50" s="734"/>
      <c r="N50" s="1642"/>
      <c r="O50" s="1642"/>
      <c r="P50" s="1366"/>
      <c r="Q50" s="1366"/>
      <c r="R50" s="1366"/>
      <c r="S50" s="1366"/>
      <c r="T50" s="1642"/>
      <c r="U50" s="1366"/>
      <c r="V50" s="1366"/>
      <c r="W50" s="736"/>
      <c r="X50" s="1366"/>
      <c r="Y50" s="1366"/>
      <c r="Z50" s="1366"/>
      <c r="AA50" s="1366"/>
      <c r="AB50" s="1366"/>
      <c r="AC50" s="1632"/>
      <c r="AD50" s="1632"/>
      <c r="AE50" s="1632"/>
      <c r="AF50" s="1632"/>
      <c r="AG50" s="1632"/>
      <c r="AH50" s="1635">
        <v>0</v>
      </c>
    </row>
    <row s="1847" customFormat="1" customHeight="1" ht="18.75">
      <c r="A51" s="987"/>
      <c r="B51" s="2144" t="str">
        <f>E33&amp;".1"</f>
        <v>2.2.1</v>
      </c>
      <c r="C51" s="1324"/>
      <c r="D51" s="2157"/>
      <c r="E51" s="546" t="str">
        <f>B46&amp;".4"</f>
        <v>2.2.2.4</v>
      </c>
      <c r="F51" s="553" t="s">
        <v>557</v>
      </c>
      <c r="G51" s="2331" t="s">
        <v>549</v>
      </c>
      <c r="H51" s="555"/>
      <c r="I51" s="555" t="s">
        <v>574</v>
      </c>
      <c r="J51" s="555"/>
      <c r="K51" s="555"/>
      <c r="L51" s="1525"/>
      <c r="M51" s="734"/>
      <c r="N51" s="1642"/>
      <c r="O51" s="1642"/>
      <c r="P51" s="1366"/>
      <c r="Q51" s="1366"/>
      <c r="R51" s="1366"/>
      <c r="S51" s="1366"/>
      <c r="T51" s="1642"/>
      <c r="U51" s="1366"/>
      <c r="V51" s="1366"/>
      <c r="W51" s="736"/>
      <c r="X51" s="1366"/>
      <c r="Y51" s="1366"/>
      <c r="Z51" s="1366"/>
      <c r="AA51" s="1366"/>
      <c r="AB51" s="1366"/>
      <c r="AC51" s="1632"/>
      <c r="AD51" s="1632"/>
      <c r="AE51" s="1632"/>
      <c r="AF51" s="1632"/>
      <c r="AG51" s="1632"/>
      <c r="AH51" s="1635">
        <v>0</v>
      </c>
    </row>
    <row s="1847" customFormat="1" customHeight="1" ht="23.25">
      <c r="A52" s="987"/>
      <c r="B52" s="2144" t="str">
        <f>E33&amp;".3"</f>
        <v>2.2.3</v>
      </c>
      <c r="C52" s="1324" t="s">
        <v>548</v>
      </c>
      <c r="D52" s="683" t="s">
        <v>121</v>
      </c>
      <c r="E52" s="546" t="str">
        <f>B52</f>
        <v>2.2.3</v>
      </c>
      <c r="F52" s="547" t="s">
        <v>577</v>
      </c>
      <c r="G52" s="2331" t="s">
        <v>549</v>
      </c>
      <c r="H52" s="2331" t="s">
        <v>549</v>
      </c>
      <c r="I52" s="2331" t="s">
        <v>549</v>
      </c>
      <c r="J52" s="2331" t="s">
        <v>549</v>
      </c>
      <c r="K52" s="2331" t="s">
        <v>549</v>
      </c>
      <c r="L52" s="1525" t="s">
        <v>550</v>
      </c>
      <c r="M52" s="734"/>
      <c r="N52" s="1642"/>
      <c r="O52" s="1642"/>
      <c r="P52" s="1366"/>
      <c r="Q52" s="1366"/>
      <c r="R52" s="1366"/>
      <c r="S52" s="1366"/>
      <c r="T52" s="1642"/>
      <c r="U52" s="1366"/>
      <c r="V52" s="1366"/>
      <c r="W52" s="736"/>
      <c r="X52" s="1366"/>
      <c r="Y52" s="1366"/>
      <c r="Z52" s="1366"/>
      <c r="AA52" s="1366"/>
      <c r="AB52" s="1366"/>
      <c r="AC52" s="1632"/>
      <c r="AD52" s="1632"/>
      <c r="AE52" s="1632"/>
      <c r="AF52" s="1632"/>
      <c r="AG52" s="1632"/>
      <c r="AH52" s="1635">
        <v>0</v>
      </c>
    </row>
    <row s="622" customFormat="1" customHeight="1" ht="0.75" hidden="1">
      <c r="A53" s="1642"/>
      <c r="B53" s="2144" t="str">
        <f>E33&amp;".2"</f>
        <v>2.2.2</v>
      </c>
      <c r="C53" s="1324"/>
      <c r="D53" s="1324"/>
      <c r="E53" s="549"/>
      <c r="F53" s="550" t="s">
        <v>551</v>
      </c>
      <c r="G53" s="1373"/>
      <c r="H53" s="1373">
        <f>H54*H55+H56</f>
        <v>0</v>
      </c>
      <c r="I53" s="1373">
        <f>I54*I55+I56</f>
        <v>95599.7493186</v>
      </c>
      <c r="J53" s="1373">
        <f>J54*J55+J56</f>
        <v>0</v>
      </c>
      <c r="K53" s="1373">
        <f>K54*K55+K56</f>
        <v>0</v>
      </c>
      <c r="L53" s="1376"/>
      <c r="M53" s="1642"/>
      <c r="N53" s="1642"/>
      <c r="O53" s="1642"/>
      <c r="P53" s="1642"/>
      <c r="Q53" s="1642"/>
      <c r="R53" s="1642"/>
      <c r="S53" s="1642"/>
      <c r="T53" s="1642"/>
      <c r="U53" s="1642"/>
      <c r="V53" s="1642"/>
      <c r="W53" s="1642"/>
      <c r="X53" s="1642"/>
      <c r="Y53" s="1642"/>
      <c r="Z53" s="1642"/>
      <c r="AA53" s="1642"/>
      <c r="AB53" s="1642"/>
      <c r="AC53" s="1642"/>
      <c r="AD53" s="1642"/>
      <c r="AE53" s="1642"/>
      <c r="AF53" s="1642"/>
      <c r="AG53" s="1642"/>
      <c r="AH53" s="1642">
        <v>0</v>
      </c>
    </row>
    <row s="1847" customFormat="1" customHeight="1" ht="23.25">
      <c r="A54" s="987"/>
      <c r="B54" s="2144" t="str">
        <f>E33&amp;".2"</f>
        <v>2.2.2</v>
      </c>
      <c r="C54" s="1324"/>
      <c r="D54" s="2157"/>
      <c r="E54" s="546" t="str">
        <f>B52&amp;".1"</f>
        <v>2.2.3.1</v>
      </c>
      <c r="F54" s="553" t="s">
        <v>552</v>
      </c>
      <c r="G54" s="554" t="s">
        <v>573</v>
      </c>
      <c r="H54" s="751"/>
      <c r="I54" s="751">
        <v>1160.21</v>
      </c>
      <c r="J54" s="751"/>
      <c r="K54" s="751"/>
      <c r="L54" s="1525" t="s">
        <v>553</v>
      </c>
      <c r="M54" s="734"/>
      <c r="N54" s="1642"/>
      <c r="O54" s="1642"/>
      <c r="P54" s="1366"/>
      <c r="Q54" s="1366"/>
      <c r="R54" s="1366"/>
      <c r="S54" s="1366"/>
      <c r="T54" s="1642"/>
      <c r="U54" s="1366"/>
      <c r="V54" s="1366"/>
      <c r="W54" s="736"/>
      <c r="X54" s="1366"/>
      <c r="Y54" s="1366"/>
      <c r="Z54" s="1366"/>
      <c r="AA54" s="1366"/>
      <c r="AB54" s="1366"/>
      <c r="AC54" s="1632"/>
      <c r="AD54" s="1632"/>
      <c r="AE54" s="1632"/>
      <c r="AF54" s="1632"/>
      <c r="AG54" s="1632"/>
      <c r="AH54" s="1635">
        <v>0</v>
      </c>
    </row>
    <row s="1847" customFormat="1" customHeight="1" ht="18.75">
      <c r="A55" s="987"/>
      <c r="B55" s="2144" t="str">
        <f>E33&amp;".2"</f>
        <v>2.2.2</v>
      </c>
      <c r="C55" s="1324"/>
      <c r="D55" s="2157"/>
      <c r="E55" s="546" t="str">
        <f>B52&amp;".2"</f>
        <v>2.2.3.2</v>
      </c>
      <c r="F55" s="553" t="s">
        <v>554</v>
      </c>
      <c r="G55" s="2331" t="s">
        <v>555</v>
      </c>
      <c r="H55" s="751"/>
      <c r="I55" s="751">
        <v>82.39866</v>
      </c>
      <c r="J55" s="751"/>
      <c r="K55" s="751"/>
      <c r="L55" s="1525"/>
      <c r="M55" s="734"/>
      <c r="N55" s="1642"/>
      <c r="O55" s="1642"/>
      <c r="P55" s="1366"/>
      <c r="Q55" s="1366"/>
      <c r="R55" s="1366"/>
      <c r="S55" s="1366"/>
      <c r="T55" s="1642"/>
      <c r="U55" s="1366"/>
      <c r="V55" s="1366"/>
      <c r="W55" s="736"/>
      <c r="X55" s="1366"/>
      <c r="Y55" s="1366"/>
      <c r="Z55" s="1366"/>
      <c r="AA55" s="1366"/>
      <c r="AB55" s="1366"/>
      <c r="AC55" s="1632"/>
      <c r="AD55" s="1632"/>
      <c r="AE55" s="1632"/>
      <c r="AF55" s="1632"/>
      <c r="AG55" s="1632"/>
      <c r="AH55" s="1635">
        <v>0</v>
      </c>
    </row>
    <row s="1847" customFormat="1" customHeight="1" ht="18.75">
      <c r="A56" s="987"/>
      <c r="B56" s="2144" t="str">
        <f>E33&amp;".2"</f>
        <v>2.2.2</v>
      </c>
      <c r="C56" s="1324"/>
      <c r="D56" s="2157"/>
      <c r="E56" s="546" t="str">
        <f>B52&amp;".3"</f>
        <v>2.2.3.3</v>
      </c>
      <c r="F56" s="553" t="s">
        <v>556</v>
      </c>
      <c r="G56" s="2331" t="s">
        <v>555</v>
      </c>
      <c r="H56" s="751"/>
      <c r="I56" s="751"/>
      <c r="J56" s="751"/>
      <c r="K56" s="751"/>
      <c r="L56" s="1525"/>
      <c r="M56" s="734"/>
      <c r="N56" s="1642"/>
      <c r="O56" s="1642"/>
      <c r="P56" s="1366"/>
      <c r="Q56" s="1366"/>
      <c r="R56" s="1366"/>
      <c r="S56" s="1366"/>
      <c r="T56" s="1642"/>
      <c r="U56" s="1366"/>
      <c r="V56" s="1366"/>
      <c r="W56" s="736"/>
      <c r="X56" s="1366"/>
      <c r="Y56" s="1366"/>
      <c r="Z56" s="1366"/>
      <c r="AA56" s="1366"/>
      <c r="AB56" s="1366"/>
      <c r="AC56" s="1632"/>
      <c r="AD56" s="1632"/>
      <c r="AE56" s="1632"/>
      <c r="AF56" s="1632"/>
      <c r="AG56" s="1632"/>
      <c r="AH56" s="1635">
        <v>0</v>
      </c>
    </row>
    <row s="1847" customFormat="1" customHeight="1" ht="18.75">
      <c r="A57" s="987"/>
      <c r="B57" s="2144" t="str">
        <f>E33&amp;".2"</f>
        <v>2.2.2</v>
      </c>
      <c r="C57" s="1324"/>
      <c r="D57" s="2157"/>
      <c r="E57" s="546" t="str">
        <f>B52&amp;".4"</f>
        <v>2.2.3.4</v>
      </c>
      <c r="F57" s="553" t="s">
        <v>557</v>
      </c>
      <c r="G57" s="2331" t="s">
        <v>549</v>
      </c>
      <c r="H57" s="555"/>
      <c r="I57" s="555" t="s">
        <v>574</v>
      </c>
      <c r="J57" s="555"/>
      <c r="K57" s="555"/>
      <c r="L57" s="1525"/>
      <c r="M57" s="734"/>
      <c r="N57" s="1642"/>
      <c r="O57" s="1642"/>
      <c r="P57" s="1366"/>
      <c r="Q57" s="1366"/>
      <c r="R57" s="1366"/>
      <c r="S57" s="1366"/>
      <c r="T57" s="1642"/>
      <c r="U57" s="1366"/>
      <c r="V57" s="1366"/>
      <c r="W57" s="736"/>
      <c r="X57" s="1366"/>
      <c r="Y57" s="1366"/>
      <c r="Z57" s="1366"/>
      <c r="AA57" s="1366"/>
      <c r="AB57" s="1366"/>
      <c r="AC57" s="1632"/>
      <c r="AD57" s="1632"/>
      <c r="AE57" s="1632"/>
      <c r="AF57" s="1632"/>
      <c r="AG57" s="1632"/>
      <c r="AH57" s="1635">
        <v>0</v>
      </c>
    </row>
    <row s="1366" customFormat="1" customHeight="1" ht="15">
      <c r="A58" s="2390"/>
      <c r="C58" s="1636"/>
      <c r="D58" s="1633"/>
      <c r="E58" s="570"/>
      <c r="F58" s="571" t="s">
        <v>578</v>
      </c>
      <c r="G58" s="572"/>
      <c r="H58" s="573"/>
      <c r="I58" s="573"/>
      <c r="J58" s="2656"/>
      <c r="K58" s="2657"/>
      <c r="L58" s="301"/>
      <c r="M58" s="1636" t="str">
        <f>IF((LEN(E58)-LEN(SUBSTITUTE(E58,".","")))/LEN(".")=1,"p","")</f>
        <v/>
      </c>
      <c r="N58" s="1636"/>
      <c r="O58" s="1636"/>
      <c r="T58" s="1636"/>
      <c r="W58" s="544"/>
      <c r="AC58" s="1632"/>
      <c r="AD58" s="1632"/>
      <c r="AE58" s="1632"/>
      <c r="AF58" s="1632"/>
      <c r="AG58" s="1632"/>
      <c r="AH58" s="1160">
        <v>0</v>
      </c>
    </row>
    <row customHeight="1" ht="11.25" hidden="1">
      <c r="A59" s="2390" t="s">
        <v>579</v>
      </c>
      <c r="D59" s="1638"/>
      <c r="E59" s="546" t="str">
        <f>FHD_NUM_P_5</f>
        <v/>
      </c>
      <c r="F59" s="1524" t="str">
        <f>FHD_P_5</f>
        <v/>
      </c>
      <c r="G59" s="1875" t="s">
        <v>555</v>
      </c>
      <c r="H59" s="557"/>
      <c r="I59" s="557"/>
      <c r="J59" s="557"/>
      <c r="K59" s="557"/>
      <c r="L59" s="289" t="str">
        <f>FHD_NOTE_P_5</f>
        <v/>
      </c>
      <c r="M59" s="1636" t="str">
        <f>IF((LEN(E59)-LEN(SUBSTITUTE(E59,".","")))/LEN(".")=1,"p","")</f>
        <v/>
      </c>
      <c r="AH59" s="1631">
        <v>0</v>
      </c>
    </row>
    <row customHeight="1" ht="11.25" hidden="1">
      <c r="A60" s="2390"/>
      <c r="D60" s="1638"/>
      <c r="E60" s="546" t="str">
        <f>FHD_NUM_P_6</f>
        <v/>
      </c>
      <c r="F60" s="1524" t="str">
        <f>FHD_P_6</f>
        <v/>
      </c>
      <c r="G60" s="1875" t="s">
        <v>555</v>
      </c>
      <c r="H60" s="557"/>
      <c r="I60" s="557"/>
      <c r="J60" s="557"/>
      <c r="K60" s="557"/>
      <c r="L60" s="289" t="str">
        <f>FHD_NOTE_P_6</f>
        <v/>
      </c>
      <c r="M60" s="1636" t="str">
        <f>IF((LEN(E60)-LEN(SUBSTITUTE(E60,".","")))/LEN(".")=1,"p","")</f>
        <v/>
      </c>
      <c r="AH60" s="1631">
        <v>0</v>
      </c>
    </row>
    <row customHeight="1" ht="11.25" hidden="1">
      <c r="A61" s="2390"/>
      <c r="D61" s="1638"/>
      <c r="E61" s="546" t="str">
        <f>FHD_NUM_P_7</f>
        <v/>
      </c>
      <c r="F61" s="1524" t="str">
        <f>FHD_P_7</f>
        <v/>
      </c>
      <c r="G61" s="1875" t="s">
        <v>555</v>
      </c>
      <c r="H61" s="557"/>
      <c r="I61" s="557"/>
      <c r="J61" s="557"/>
      <c r="K61" s="557"/>
      <c r="L61" s="289" t="str">
        <f>FHD_NOTE_P_7</f>
        <v/>
      </c>
      <c r="M61" s="1636" t="str">
        <f>IF((LEN(E61)-LEN(SUBSTITUTE(E61,".","")))/LEN(".")=1,"p","")</f>
        <v/>
      </c>
      <c r="AH61" s="1631">
        <v>0</v>
      </c>
    </row>
    <row customHeight="1" ht="25.31248728434245">
      <c r="D62" s="1638"/>
      <c r="E62" s="546" t="str">
        <f>FHD_NUM_P_8</f>
        <v>2.3</v>
      </c>
      <c r="F62" s="1524" t="str">
        <f>FHD_P_8</f>
        <v>Расходы на приобретаемую электрическую энергию (мощность), используемую в технологическом процессе</v>
      </c>
      <c r="G62" s="1875" t="s">
        <v>555</v>
      </c>
      <c r="H62" s="557"/>
      <c r="I62" s="557">
        <v>23695.18</v>
      </c>
      <c r="J62" s="557">
        <v>9490.29</v>
      </c>
      <c r="K62" s="557">
        <v>1639.39</v>
      </c>
      <c r="L62" s="289" t="str">
        <f>FHD_NOTE_P_8</f>
        <v/>
      </c>
      <c r="M62" s="1636" t="str">
        <f>IF((LEN(E62)-LEN(SUBSTITUTE(E62,".","")))/LEN(".")=1,"p","")</f>
        <v>p</v>
      </c>
      <c r="AH62" s="1631">
        <v>11</v>
      </c>
    </row>
    <row customHeight="1" ht="20.31248728434245">
      <c r="D63" s="1638"/>
      <c r="E63" s="546" t="str">
        <f>FHD_NUM_P_9</f>
        <v>2.3.1</v>
      </c>
      <c r="F63" s="1650" t="str">
        <f>FHD_P_9</f>
        <v>Средневзвешенная стоимость 1 кВт.ч (с учетом мощности)</v>
      </c>
      <c r="G63" s="1875" t="s">
        <v>580</v>
      </c>
      <c r="H63" s="557"/>
      <c r="I63" s="557">
        <f>I62/I64</f>
        <v>9.13566719358445</v>
      </c>
      <c r="J63" s="557">
        <f>J62/J64</f>
        <v>9.03665016187393</v>
      </c>
      <c r="K63" s="557">
        <f>K62/K64</f>
        <v>9.20333464323808</v>
      </c>
      <c r="L63" s="289" t="str">
        <f>FHD_NOTE_P_9</f>
        <v/>
      </c>
      <c r="M63" s="1636" t="str">
        <f>IF((LEN(E63)-LEN(SUBSTITUTE(E63,".","")))/LEN(".")=1,"p","")</f>
        <v/>
      </c>
      <c r="AH63" s="1631">
        <v>11</v>
      </c>
    </row>
    <row s="1366" customFormat="1" customHeight="1" ht="25.31248728434245">
      <c r="A64" s="987"/>
      <c r="C64" s="1636"/>
      <c r="D64" s="574"/>
      <c r="E64" s="546" t="str">
        <f>FHD_NUM_P_10</f>
        <v>2.3.2</v>
      </c>
      <c r="F64" s="1650" t="str">
        <f>FHD_P_10</f>
        <v>Объём приобретения электрической энергии</v>
      </c>
      <c r="G64" s="1875" t="s">
        <v>581</v>
      </c>
      <c r="H64" s="557"/>
      <c r="I64" s="557">
        <v>2593.7</v>
      </c>
      <c r="J64" s="557">
        <v>1050.2</v>
      </c>
      <c r="K64" s="557">
        <v>178.13</v>
      </c>
      <c r="L64" s="289" t="str">
        <f>FHD_NOTE_P_10</f>
        <v/>
      </c>
      <c r="M64" s="1636" t="str">
        <f>IF((LEN(E64)-LEN(SUBSTITUTE(E64,".","")))/LEN(".")=1,"p","")</f>
        <v/>
      </c>
      <c r="N64" s="1636"/>
      <c r="O64" s="1636"/>
      <c r="T64" s="1636"/>
      <c r="W64" s="544"/>
      <c r="AC64" s="1632"/>
      <c r="AD64" s="1632"/>
      <c r="AE64" s="1632"/>
      <c r="AF64" s="1632"/>
      <c r="AG64" s="1632"/>
      <c r="AH64" s="1160">
        <v>11</v>
      </c>
    </row>
    <row s="1366" customFormat="1" customHeight="1" ht="23.64582061767578">
      <c r="A65" s="989" t="s">
        <v>582</v>
      </c>
      <c r="C65" s="1636"/>
      <c r="D65" s="575"/>
      <c r="E65" s="546" t="str">
        <f>FHD_NUM_P_11</f>
        <v>2.4</v>
      </c>
      <c r="F65" s="1524" t="str">
        <f>FHD_P_11</f>
        <v>Расходы на приобретение холодной воды, используемой в технологическом процессе</v>
      </c>
      <c r="G65" s="1875" t="s">
        <v>555</v>
      </c>
      <c r="H65" s="557"/>
      <c r="I65" s="557">
        <v>4223.8</v>
      </c>
      <c r="J65" s="557">
        <v>143.8</v>
      </c>
      <c r="K65" s="557">
        <v>205.8</v>
      </c>
      <c r="L65" s="289" t="str">
        <f>FHD_NOTE_P_11</f>
        <v/>
      </c>
      <c r="M65" s="1636" t="str">
        <f>IF((LEN(E65)-LEN(SUBSTITUTE(E65,".","")))/LEN(".")=1,"p","")</f>
        <v>p</v>
      </c>
      <c r="N65" s="1636"/>
      <c r="O65" s="1636"/>
      <c r="T65" s="1636"/>
      <c r="W65" s="544"/>
      <c r="AC65" s="1632"/>
      <c r="AD65" s="1632"/>
      <c r="AE65" s="1632"/>
      <c r="AF65" s="1632"/>
      <c r="AG65" s="1632"/>
      <c r="AH65" s="1160">
        <v>0</v>
      </c>
    </row>
    <row s="1366" customFormat="1" customHeight="1" ht="18.75">
      <c r="A66" s="989" t="s">
        <v>583</v>
      </c>
      <c r="C66" s="1636"/>
      <c r="D66" s="1638"/>
      <c r="E66" s="546" t="str">
        <f>FHD_NUM_P_12</f>
        <v>2.5</v>
      </c>
      <c r="F66" s="1524" t="str">
        <f>FHD_P_12</f>
        <v>Расходы на  химические реагенты, используемые в технологическом процессе</v>
      </c>
      <c r="G66" s="1875" t="s">
        <v>555</v>
      </c>
      <c r="H66" s="577"/>
      <c r="I66" s="577">
        <v>66.38</v>
      </c>
      <c r="J66" s="577">
        <v>0</v>
      </c>
      <c r="K66" s="577">
        <v>0</v>
      </c>
      <c r="L66" s="289" t="str">
        <f>FHD_NOTE_P_12</f>
        <v/>
      </c>
      <c r="M66" s="1636" t="str">
        <f>IF((LEN(E66)-LEN(SUBSTITUTE(E66,".","")))/LEN(".")=1,"p","")</f>
        <v>p</v>
      </c>
      <c r="N66" s="1636"/>
      <c r="O66" s="1636"/>
      <c r="T66" s="1636"/>
      <c r="W66" s="544"/>
      <c r="AC66" s="1632"/>
      <c r="AD66" s="1632"/>
      <c r="AE66" s="1632"/>
      <c r="AF66" s="1632"/>
      <c r="AG66" s="1632"/>
      <c r="AH66" s="1160">
        <v>18</v>
      </c>
    </row>
    <row s="1365" customFormat="1" customHeight="1" ht="33.64582061767578">
      <c r="A67" s="988"/>
      <c r="C67" s="730"/>
      <c r="D67" s="673"/>
      <c r="E67" s="546" t="str">
        <f>FHD_NUM_P_13</f>
        <v>2.6</v>
      </c>
      <c r="F67"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7" s="1875" t="s">
        <v>555</v>
      </c>
      <c r="H67" s="557"/>
      <c r="I67" s="557">
        <f>I68+I69</f>
        <v>113282.71</v>
      </c>
      <c r="J67" s="557">
        <f>J68+J69</f>
        <v>22942.7</v>
      </c>
      <c r="K67" s="557">
        <f>K68+K69</f>
        <v>12951.79</v>
      </c>
      <c r="L67" s="289" t="str">
        <f>FHD_NOTE_P_13</f>
        <v/>
      </c>
      <c r="M67" s="1636" t="str">
        <f>IF((LEN(E67)-LEN(SUBSTITUTE(E67,".","")))/LEN(".")=1,"p","")</f>
        <v>p</v>
      </c>
      <c r="N67" s="730"/>
      <c r="O67" s="730"/>
      <c r="T67" s="730"/>
      <c r="W67" s="731"/>
      <c r="AC67" s="732"/>
      <c r="AD67" s="732"/>
      <c r="AE67" s="732"/>
      <c r="AF67" s="732"/>
      <c r="AG67" s="732"/>
      <c r="AH67" s="729">
        <v>11</v>
      </c>
    </row>
    <row s="1365" customFormat="1" customHeight="1" ht="27.81248728434245">
      <c r="A68" s="988"/>
      <c r="C68" s="730"/>
      <c r="D68" s="673"/>
      <c r="E68" s="546" t="str">
        <f>FHD_NUM_P_14</f>
        <v>2.6.1</v>
      </c>
      <c r="F68" s="1650" t="str">
        <f>FHD_P_14</f>
        <v>Расходы на оплату труда основного производственного персонала</v>
      </c>
      <c r="G68" s="1875" t="s">
        <v>555</v>
      </c>
      <c r="H68" s="557"/>
      <c r="I68" s="557">
        <v>87138.45</v>
      </c>
      <c r="J68" s="557">
        <v>17628.6</v>
      </c>
      <c r="K68" s="557">
        <v>9980.49</v>
      </c>
      <c r="L68" s="289" t="str">
        <f>FHD_NOTE_P_14</f>
        <v/>
      </c>
      <c r="M68" s="1636" t="str">
        <f>IF((LEN(E68)-LEN(SUBSTITUTE(E68,".","")))/LEN(".")=1,"p","")</f>
        <v/>
      </c>
      <c r="N68" s="730"/>
      <c r="O68" s="730"/>
      <c r="T68" s="730"/>
      <c r="W68" s="731"/>
      <c r="AC68" s="732"/>
      <c r="AD68" s="732"/>
      <c r="AE68" s="732"/>
      <c r="AF68" s="732"/>
      <c r="AG68" s="732"/>
      <c r="AH68" s="729">
        <v>11</v>
      </c>
    </row>
    <row s="1365" customFormat="1" customHeight="1" ht="33.64582061767578">
      <c r="A69" s="988"/>
      <c r="C69" s="730"/>
      <c r="D69" s="673"/>
      <c r="E69" s="546" t="str">
        <f>FHD_NUM_P_15</f>
        <v>2.6.2</v>
      </c>
      <c r="F69" s="1650" t="str">
        <f>FHD_P_15</f>
        <v>Страховые взносы на обязательное социальное страхование, выплачиваемые из фонда оплаты труда основного производственного персонала</v>
      </c>
      <c r="G69" s="1875" t="s">
        <v>555</v>
      </c>
      <c r="H69" s="557"/>
      <c r="I69" s="557">
        <v>26144.26</v>
      </c>
      <c r="J69" s="557">
        <v>5314.1</v>
      </c>
      <c r="K69" s="557">
        <v>2971.3</v>
      </c>
      <c r="L69" s="289" t="str">
        <f>FHD_NOTE_P_15</f>
        <v/>
      </c>
      <c r="M69" s="1636" t="str">
        <f>IF((LEN(E69)-LEN(SUBSTITUTE(E69,".","")))/LEN(".")=1,"p","")</f>
        <v/>
      </c>
      <c r="N69" s="730"/>
      <c r="O69" s="730"/>
      <c r="T69" s="730"/>
      <c r="W69" s="731"/>
      <c r="AC69" s="732"/>
      <c r="AD69" s="732"/>
      <c r="AE69" s="732"/>
      <c r="AF69" s="732"/>
      <c r="AG69" s="732"/>
      <c r="AH69" s="729">
        <v>11</v>
      </c>
    </row>
    <row s="1366" customFormat="1" customHeight="1" ht="46.14582061767578">
      <c r="A70" s="987"/>
      <c r="C70" s="1636"/>
      <c r="D70" s="1638"/>
      <c r="E70" s="546" t="str">
        <f>FHD_NUM_P_16</f>
        <v>2.7</v>
      </c>
      <c r="F70"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0" s="1875" t="s">
        <v>555</v>
      </c>
      <c r="H70" s="557"/>
      <c r="I70" s="557">
        <f>I71+I72</f>
        <v>62727.38</v>
      </c>
      <c r="J70" s="557">
        <f>J71+J72</f>
        <v>3305.5</v>
      </c>
      <c r="K70" s="557">
        <f>K71+K72</f>
        <v>5631.1</v>
      </c>
      <c r="L70" s="289" t="str">
        <f>FHD_NOTE_P_16</f>
        <v/>
      </c>
      <c r="M70" s="1636" t="str">
        <f>IF((LEN(E70)-LEN(SUBSTITUTE(E70,".","")))/LEN(".")=1,"p","")</f>
        <v>p</v>
      </c>
      <c r="N70" s="1636"/>
      <c r="O70" s="1642"/>
      <c r="P70" s="537"/>
      <c r="Q70" s="537"/>
      <c r="T70" s="1636"/>
      <c r="W70" s="544"/>
      <c r="AC70" s="1632"/>
      <c r="AD70" s="1632"/>
      <c r="AE70" s="1632"/>
      <c r="AF70" s="1632"/>
      <c r="AG70" s="1632"/>
      <c r="AH70" s="1160">
        <v>11</v>
      </c>
    </row>
    <row s="1366" customFormat="1" customHeight="1" ht="28.64582061767578">
      <c r="A71" s="987"/>
      <c r="C71" s="1636"/>
      <c r="D71" s="1638"/>
      <c r="E71" s="546" t="str">
        <f>FHD_NUM_P_17</f>
        <v>2.7.1</v>
      </c>
      <c r="F71" s="1650" t="str">
        <f>FHD_P_17</f>
        <v>Расходы на оплату труда административно-управленческого персонала</v>
      </c>
      <c r="G71" s="1875" t="s">
        <v>555</v>
      </c>
      <c r="H71" s="557"/>
      <c r="I71" s="557">
        <v>48344.3</v>
      </c>
      <c r="J71" s="557">
        <v>2540.4</v>
      </c>
      <c r="K71" s="557">
        <v>4325</v>
      </c>
      <c r="L71" s="289" t="str">
        <f>FHD_NOTE_P_17</f>
        <v/>
      </c>
      <c r="M71" s="1636" t="str">
        <f>IF((LEN(E71)-LEN(SUBSTITUTE(E71,".","")))/LEN(".")=1,"p","")</f>
        <v/>
      </c>
      <c r="N71" s="1636"/>
      <c r="O71" s="1642"/>
      <c r="P71" s="537"/>
      <c r="Q71" s="537"/>
      <c r="T71" s="1636"/>
      <c r="W71" s="544"/>
      <c r="AC71" s="1632"/>
      <c r="AD71" s="1632"/>
      <c r="AE71" s="1632"/>
      <c r="AF71" s="1632"/>
      <c r="AG71" s="1632"/>
      <c r="AH71" s="1160">
        <v>11</v>
      </c>
    </row>
    <row s="1366" customFormat="1" customHeight="1" ht="39.47915395100912">
      <c r="A72" s="987"/>
      <c r="C72" s="1636"/>
      <c r="D72" s="1638"/>
      <c r="E72" s="546" t="str">
        <f>FHD_NUM_P_18</f>
        <v>2.7.2</v>
      </c>
      <c r="F72"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72" s="1875" t="s">
        <v>555</v>
      </c>
      <c r="H72" s="557"/>
      <c r="I72" s="557">
        <v>14383.08</v>
      </c>
      <c r="J72" s="557">
        <v>765.1</v>
      </c>
      <c r="K72" s="557">
        <v>1306.1</v>
      </c>
      <c r="L72" s="289" t="str">
        <f>FHD_NOTE_P_18</f>
        <v/>
      </c>
      <c r="M72" s="1636" t="str">
        <f>IF((LEN(E72)-LEN(SUBSTITUTE(E72,".","")))/LEN(".")=1,"p","")</f>
        <v/>
      </c>
      <c r="N72" s="1636"/>
      <c r="O72" s="1642"/>
      <c r="P72" s="537"/>
      <c r="Q72" s="537"/>
      <c r="T72" s="1636"/>
      <c r="W72" s="544"/>
      <c r="AC72" s="1632"/>
      <c r="AD72" s="1632"/>
      <c r="AE72" s="1632"/>
      <c r="AF72" s="1632"/>
      <c r="AG72" s="1632"/>
      <c r="AH72" s="1160">
        <v>11</v>
      </c>
    </row>
    <row s="1366" customFormat="1" customHeight="1" ht="27.81248728434245">
      <c r="A73" s="987"/>
      <c r="C73" s="1636"/>
      <c r="D73" s="575"/>
      <c r="E73" s="546" t="str">
        <f>FHD_NUM_P_19</f>
        <v>2.8</v>
      </c>
      <c r="F73" s="1524" t="str">
        <f>FHD_P_19</f>
        <v>Расходы на амортизацию основных средств и нематериальных активов</v>
      </c>
      <c r="G73" s="1875" t="s">
        <v>555</v>
      </c>
      <c r="H73" s="557"/>
      <c r="I73" s="557">
        <f>I74+I75</f>
        <v>106889.41</v>
      </c>
      <c r="J73" s="557">
        <f>J74</f>
        <v>2170.1</v>
      </c>
      <c r="K73" s="557">
        <f>K74</f>
        <v>2384.8</v>
      </c>
      <c r="L73" s="289" t="str">
        <f>FHD_NOTE_P_19</f>
        <v/>
      </c>
      <c r="M73" s="1636" t="str">
        <f>IF((LEN(E73)-LEN(SUBSTITUTE(E73,".","")))/LEN(".")=1,"p","")</f>
        <v>p</v>
      </c>
      <c r="N73" s="1636"/>
      <c r="O73" s="1636"/>
      <c r="T73" s="1636"/>
      <c r="W73" s="544"/>
      <c r="AC73" s="1632"/>
      <c r="AD73" s="1632"/>
      <c r="AE73" s="1632"/>
      <c r="AF73" s="1632"/>
      <c r="AG73" s="1632"/>
      <c r="AH73" s="1160">
        <v>11</v>
      </c>
    </row>
    <row s="1366" customFormat="1" customHeight="1" ht="16.14582061767578">
      <c r="A74" s="987"/>
      <c r="C74" s="1636"/>
      <c r="D74" s="575"/>
      <c r="E74" s="546" t="str">
        <f>FHD_NUM_P_20</f>
        <v>2.8.1</v>
      </c>
      <c r="F74" s="1650" t="str">
        <f>FHD_P_20</f>
        <v>Расходы на амортизацию основных средств</v>
      </c>
      <c r="G74" s="1875" t="s">
        <v>555</v>
      </c>
      <c r="H74" s="557"/>
      <c r="I74" s="557">
        <v>106889.41</v>
      </c>
      <c r="J74" s="557">
        <v>2170.1</v>
      </c>
      <c r="K74" s="557">
        <v>2384.8</v>
      </c>
      <c r="L74" s="289" t="str">
        <f>FHD_NOTE_P_20</f>
        <v/>
      </c>
      <c r="M74" s="1636" t="str">
        <f>IF((LEN(E74)-LEN(SUBSTITUTE(E74,".","")))/LEN(".")=1,"p","")</f>
        <v/>
      </c>
      <c r="N74" s="1636"/>
      <c r="O74" s="1636"/>
      <c r="T74" s="1636"/>
      <c r="W74" s="544"/>
      <c r="AC74" s="1632"/>
      <c r="AD74" s="1632"/>
      <c r="AE74" s="1632"/>
      <c r="AF74" s="1632"/>
      <c r="AG74" s="1632"/>
      <c r="AH74" s="1160">
        <v>11</v>
      </c>
    </row>
    <row s="1366" customFormat="1" customHeight="1" ht="21.979153951009113">
      <c r="A75" s="987"/>
      <c r="C75" s="1636"/>
      <c r="D75" s="575"/>
      <c r="E75" s="546" t="str">
        <f>FHD_NUM_P_21</f>
        <v>2.8.2</v>
      </c>
      <c r="F75" s="1650" t="str">
        <f>FHD_P_21</f>
        <v>Расходы на амортизацию нематериальных активов</v>
      </c>
      <c r="G75" s="1875" t="s">
        <v>555</v>
      </c>
      <c r="H75" s="557"/>
      <c r="I75" s="557">
        <v>0</v>
      </c>
      <c r="J75" s="557">
        <v>0</v>
      </c>
      <c r="K75" s="557">
        <v>0</v>
      </c>
      <c r="L75" s="289" t="str">
        <f>FHD_NOTE_P_21</f>
        <v/>
      </c>
      <c r="M75" s="1636" t="str">
        <f>IF((LEN(E75)-LEN(SUBSTITUTE(E75,".","")))/LEN(".")=1,"p","")</f>
        <v/>
      </c>
      <c r="N75" s="1636"/>
      <c r="O75" s="1636"/>
      <c r="T75" s="1636"/>
      <c r="W75" s="544"/>
      <c r="AC75" s="1632"/>
      <c r="AD75" s="1632"/>
      <c r="AE75" s="1632"/>
      <c r="AF75" s="1632"/>
      <c r="AG75" s="1632"/>
      <c r="AH75" s="1160">
        <v>11</v>
      </c>
    </row>
    <row s="1366" customFormat="1" customHeight="1" ht="25.31248728434245">
      <c r="A76" s="987"/>
      <c r="C76" s="1636"/>
      <c r="D76" s="1638"/>
      <c r="E76" s="546" t="str">
        <f>FHD_NUM_P_22</f>
        <v>2.9</v>
      </c>
      <c r="F76" s="1524" t="str">
        <f>FHD_P_22</f>
        <v>Расходы на аренду имущества, используемого для осуществления регулируемого вида деятельности</v>
      </c>
      <c r="G76" s="1875" t="s">
        <v>555</v>
      </c>
      <c r="H76" s="557"/>
      <c r="I76" s="557">
        <v>0</v>
      </c>
      <c r="J76" s="557">
        <v>0</v>
      </c>
      <c r="K76" s="557">
        <v>0</v>
      </c>
      <c r="L76" s="289" t="str">
        <f>FHD_NOTE_P_22</f>
        <v/>
      </c>
      <c r="M76" s="1636" t="str">
        <f>IF((LEN(E76)-LEN(SUBSTITUTE(E76,".","")))/LEN(".")=1,"p","")</f>
        <v>p</v>
      </c>
      <c r="N76" s="1636"/>
      <c r="O76" s="1636"/>
      <c r="T76" s="1636"/>
      <c r="W76" s="544"/>
      <c r="AC76" s="1632"/>
      <c r="AD76" s="1632"/>
      <c r="AE76" s="1632"/>
      <c r="AF76" s="1632"/>
      <c r="AG76" s="1632"/>
      <c r="AH76" s="1160">
        <v>11</v>
      </c>
    </row>
    <row s="1366" customFormat="1" customHeight="1" ht="23.64582061767578">
      <c r="A77" s="987"/>
      <c r="C77" s="1636"/>
      <c r="D77" s="575"/>
      <c r="E77" s="546" t="str">
        <f>FHD_NUM_P_23</f>
        <v>2.10</v>
      </c>
      <c r="F77" s="1524" t="str">
        <f>FHD_P_23</f>
        <v>Общепроизводственные расходы, в том числе:</v>
      </c>
      <c r="G77" s="1875" t="s">
        <v>555</v>
      </c>
      <c r="H77" s="557"/>
      <c r="I77" s="557">
        <f>I78</f>
        <v>44216.8</v>
      </c>
      <c r="J77" s="557">
        <f>J78</f>
        <v>5757.69</v>
      </c>
      <c r="K77" s="557">
        <f>K78</f>
        <v>2883.91</v>
      </c>
      <c r="L77" s="289" t="str">
        <f>FHD_NOTE_P_23</f>
        <v>Указывается общая сумма общепроизводственных расходов.</v>
      </c>
      <c r="M77" s="1636" t="str">
        <f>IF((LEN(E77)-LEN(SUBSTITUTE(E77,".","")))/LEN(".")=1,"p","")</f>
        <v>p</v>
      </c>
      <c r="N77" s="1636"/>
      <c r="O77" s="1636"/>
      <c r="T77" s="1636"/>
      <c r="W77" s="544"/>
      <c r="AC77" s="1632"/>
      <c r="AD77" s="1632"/>
      <c r="AE77" s="1632"/>
      <c r="AF77" s="1632"/>
      <c r="AG77" s="1632"/>
      <c r="AH77" s="1160">
        <v>11</v>
      </c>
    </row>
    <row s="1366" customFormat="1" customHeight="1" ht="14.479153951009115">
      <c r="A78" s="987"/>
      <c r="C78" s="1636"/>
      <c r="D78" s="575"/>
      <c r="E78" s="546" t="str">
        <f>FHD_NUM_P_24</f>
        <v>2.10.1</v>
      </c>
      <c r="F78" s="1650" t="str">
        <f>FHD_P_24</f>
        <v>Расходы на текущий ремонт</v>
      </c>
      <c r="G78" s="1875" t="s">
        <v>555</v>
      </c>
      <c r="H78" s="557"/>
      <c r="I78" s="557">
        <v>44216.8</v>
      </c>
      <c r="J78" s="557">
        <v>5757.69</v>
      </c>
      <c r="K78" s="557">
        <v>2883.91</v>
      </c>
      <c r="L78" s="289" t="str">
        <f>FHD_NOTE_P_24</f>
        <v>Указываются расходы на текущий ремонт, отнесенные к общепроизводственным расходам.</v>
      </c>
      <c r="M78" s="1636" t="str">
        <f>IF((LEN(E78)-LEN(SUBSTITUTE(E78,".","")))/LEN(".")=1,"p","")</f>
        <v/>
      </c>
      <c r="N78" s="1636"/>
      <c r="O78" s="1636"/>
      <c r="T78" s="1636"/>
      <c r="W78" s="544"/>
      <c r="AC78" s="1632"/>
      <c r="AD78" s="1632"/>
      <c r="AE78" s="1632"/>
      <c r="AF78" s="1632"/>
      <c r="AG78" s="1632"/>
      <c r="AH78" s="1160">
        <v>11</v>
      </c>
    </row>
    <row s="1366" customFormat="1" customHeight="1" ht="11.549999999999999">
      <c r="A79" s="987"/>
      <c r="C79" s="1636"/>
      <c r="D79" s="575"/>
      <c r="E79" s="546" t="str">
        <f>FHD_NUM_P_25</f>
        <v>2.10.2</v>
      </c>
      <c r="F79" s="1650" t="str">
        <f>FHD_P_25</f>
        <v>Расходы на капитальный ремонт</v>
      </c>
      <c r="G79" s="1875" t="s">
        <v>555</v>
      </c>
      <c r="H79" s="557"/>
      <c r="I79" s="557">
        <v>0</v>
      </c>
      <c r="J79" s="557">
        <v>0</v>
      </c>
      <c r="K79" s="557">
        <v>0</v>
      </c>
      <c r="L79" s="289" t="str">
        <f>FHD_NOTE_P_25</f>
        <v>Указываются расходы на капитальный ремонт, отнесенные к общепроизводственным расходам.</v>
      </c>
      <c r="M79" s="1636" t="str">
        <f>IF((LEN(E79)-LEN(SUBSTITUTE(E79,".","")))/LEN(".")=1,"p","")</f>
        <v/>
      </c>
      <c r="N79" s="1636"/>
      <c r="O79" s="1636"/>
      <c r="T79" s="1636"/>
      <c r="W79" s="544"/>
      <c r="AC79" s="1632"/>
      <c r="AD79" s="1632"/>
      <c r="AE79" s="1632"/>
      <c r="AF79" s="1632"/>
      <c r="AG79" s="1632"/>
      <c r="AH79" s="1160">
        <v>11</v>
      </c>
    </row>
    <row s="1366" customFormat="1" customHeight="1" ht="11.549999999999999">
      <c r="A80" s="987"/>
      <c r="C80" s="1636"/>
      <c r="D80" s="1638"/>
      <c r="E80" s="546" t="str">
        <f>FHD_NUM_P_26</f>
        <v>2.11</v>
      </c>
      <c r="F80" s="1524" t="str">
        <f>FHD_P_26</f>
        <v>Общехозяйственные расходы, в том числе:</v>
      </c>
      <c r="G80" s="1875" t="s">
        <v>555</v>
      </c>
      <c r="H80" s="557"/>
      <c r="I80" s="557">
        <v>6335.61</v>
      </c>
      <c r="J80" s="557">
        <v>760.84</v>
      </c>
      <c r="K80" s="557">
        <v>543.47</v>
      </c>
      <c r="L80" s="289" t="str">
        <f>FHD_NOTE_P_26</f>
        <v>Указывается общая сумма общехозяйственных расходов.</v>
      </c>
      <c r="M80" s="1636" t="str">
        <f>IF((LEN(E80)-LEN(SUBSTITUTE(E80,".","")))/LEN(".")=1,"p","")</f>
        <v>p</v>
      </c>
      <c r="N80" s="1636"/>
      <c r="O80" s="1636"/>
      <c r="T80" s="1636"/>
      <c r="W80" s="544"/>
      <c r="AC80" s="1632"/>
      <c r="AD80" s="1632"/>
      <c r="AE80" s="1632"/>
      <c r="AF80" s="1632"/>
      <c r="AG80" s="1632"/>
      <c r="AH80" s="1160">
        <v>11</v>
      </c>
    </row>
    <row s="1366" customFormat="1" customHeight="1" ht="11.549999999999999">
      <c r="A81" s="987"/>
      <c r="C81" s="1636"/>
      <c r="D81" s="1638"/>
      <c r="E81" s="546" t="str">
        <f>FHD_NUM_P_27</f>
        <v>2.11.1</v>
      </c>
      <c r="F81" s="1650" t="str">
        <f>FHD_P_27</f>
        <v>Расходы на текущий ремонт</v>
      </c>
      <c r="G81" s="1875" t="s">
        <v>555</v>
      </c>
      <c r="H81" s="557"/>
      <c r="I81" s="557">
        <v>0</v>
      </c>
      <c r="J81" s="557">
        <v>0</v>
      </c>
      <c r="K81" s="557">
        <v>0</v>
      </c>
      <c r="L81" s="289" t="str">
        <f>FHD_NOTE_P_27</f>
        <v>Указываются расходы на текущий ремонт, отнесенные к общехозяйственным расходам.</v>
      </c>
      <c r="M81" s="1636" t="str">
        <f>IF((LEN(E81)-LEN(SUBSTITUTE(E81,".","")))/LEN(".")=1,"p","")</f>
        <v/>
      </c>
      <c r="N81" s="1636"/>
      <c r="O81" s="1636"/>
      <c r="T81" s="1636"/>
      <c r="W81" s="544"/>
      <c r="AC81" s="1632"/>
      <c r="AD81" s="1632"/>
      <c r="AE81" s="1632"/>
      <c r="AF81" s="1632"/>
      <c r="AG81" s="1632"/>
      <c r="AH81" s="1160">
        <v>11</v>
      </c>
    </row>
    <row s="1366" customFormat="1" customHeight="1" ht="23.64582061767578">
      <c r="A82" s="987"/>
      <c r="C82" s="1636"/>
      <c r="D82" s="1638"/>
      <c r="E82" s="546" t="str">
        <f>FHD_NUM_P_28</f>
        <v>2.11.2</v>
      </c>
      <c r="F82" s="1650" t="str">
        <f>FHD_P_28</f>
        <v>Расходы на капитальный ремонт</v>
      </c>
      <c r="G82" s="1875" t="s">
        <v>555</v>
      </c>
      <c r="H82" s="557"/>
      <c r="I82" s="557">
        <v>0</v>
      </c>
      <c r="J82" s="557">
        <v>0</v>
      </c>
      <c r="K82" s="557">
        <v>0</v>
      </c>
      <c r="L82" s="289" t="str">
        <f>FHD_NOTE_P_28</f>
        <v>Указываются расходы на капитальный ремонт, отнесенные к общехозяйственным расходам.</v>
      </c>
      <c r="M82" s="1636" t="str">
        <f>IF((LEN(E82)-LEN(SUBSTITUTE(E82,".","")))/LEN(".")=1,"p","")</f>
        <v/>
      </c>
      <c r="N82" s="1636"/>
      <c r="O82" s="1636"/>
      <c r="T82" s="1636"/>
      <c r="W82" s="544"/>
      <c r="AC82" s="1632"/>
      <c r="AD82" s="1632"/>
      <c r="AE82" s="1632"/>
      <c r="AF82" s="1632"/>
      <c r="AG82" s="1632"/>
      <c r="AH82" s="1160">
        <v>11</v>
      </c>
    </row>
    <row s="1366" customFormat="1" customHeight="1" ht="24.479153951009113">
      <c r="A83" s="987"/>
      <c r="C83" s="1636"/>
      <c r="D83" s="1638"/>
      <c r="E83" s="546" t="str">
        <f>FHD_NUM_P_29</f>
        <v>2.12</v>
      </c>
      <c r="F83" s="1524" t="str">
        <f>FHD_P_29</f>
        <v>Расходы на капитальный и текущий ремонт основных средств</v>
      </c>
      <c r="G83" s="1875" t="s">
        <v>555</v>
      </c>
      <c r="H83" s="557"/>
      <c r="I83" s="557">
        <v>980</v>
      </c>
      <c r="J83" s="557">
        <v>0</v>
      </c>
      <c r="K83" s="557">
        <v>0</v>
      </c>
      <c r="L83"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83" s="1636" t="str">
        <f>IF((LEN(E83)-LEN(SUBSTITUTE(E83,".","")))/LEN(".")=1,"p","")</f>
        <v>p</v>
      </c>
      <c r="N83" s="1636"/>
      <c r="O83" s="1636"/>
      <c r="T83" s="1636"/>
      <c r="W83" s="544"/>
      <c r="AC83" s="1632"/>
      <c r="AD83" s="1632"/>
      <c r="AE83" s="1632"/>
      <c r="AF83" s="1632"/>
      <c r="AG83" s="1632"/>
      <c r="AH83" s="1160">
        <v>11</v>
      </c>
    </row>
    <row s="1366" customFormat="1" customHeight="1" ht="48.64582061767578">
      <c r="A84" s="987"/>
      <c r="C84" s="1636"/>
      <c r="D84" s="1638"/>
      <c r="E84" s="546" t="str">
        <f>FHD_NUM_P_30</f>
        <v>2.12.1</v>
      </c>
      <c r="F84"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84" s="1875" t="s">
        <v>311</v>
      </c>
      <c r="H84" s="1649" t="s">
        <v>584</v>
      </c>
      <c r="I84" s="1649" t="s">
        <v>584</v>
      </c>
      <c r="J84" s="2504" t="s">
        <v>584</v>
      </c>
      <c r="K84" s="2504" t="s">
        <v>584</v>
      </c>
      <c r="L84" s="289" t="str">
        <f>FHD_NOTE_P_30</f>
        <v/>
      </c>
      <c r="M84" s="1636" t="str">
        <f>IF((LEN(E84)-LEN(SUBSTITUTE(E84,".","")))/LEN(".")=1,"p","")</f>
        <v/>
      </c>
      <c r="N84" s="1636">
        <f>_xlfn.IFERROR(MATCH("есть",B_FHD_FLAG_INDEX_1,0),0)</f>
        <v>0</v>
      </c>
      <c r="O84" s="1636"/>
      <c r="T84" s="1636"/>
      <c r="W84" s="544"/>
      <c r="AC84" s="1632"/>
      <c r="AD84" s="1632"/>
      <c r="AE84" s="1632"/>
      <c r="AF84" s="1632"/>
      <c r="AG84" s="1632"/>
      <c r="AH84" s="1160">
        <v>11</v>
      </c>
    </row>
    <row s="1366" customFormat="1" customHeight="1" ht="23.25" hidden="1">
      <c r="A85" s="2390" t="s">
        <v>585</v>
      </c>
      <c r="C85" s="1636"/>
      <c r="D85" s="1638"/>
      <c r="E85" s="546" t="str">
        <f>FHD_NUM_P_31</f>
        <v/>
      </c>
      <c r="F85" s="1524" t="str">
        <f>FHD_P_31</f>
        <v/>
      </c>
      <c r="G85" s="1875" t="s">
        <v>555</v>
      </c>
      <c r="H85" s="557"/>
      <c r="I85" s="557"/>
      <c r="J85" s="557"/>
      <c r="K85" s="557"/>
      <c r="L85" s="289" t="str">
        <f>FHD_NOTE_P_31</f>
        <v/>
      </c>
      <c r="M85" s="1636" t="str">
        <f>IF((LEN(E85)-LEN(SUBSTITUTE(E85,".","")))/LEN(".")=1,"p","")</f>
        <v/>
      </c>
      <c r="N85" s="1636"/>
      <c r="O85" s="1636"/>
      <c r="T85" s="1636"/>
      <c r="W85" s="544"/>
      <c r="AC85" s="1632"/>
      <c r="AD85" s="1632"/>
      <c r="AE85" s="1632"/>
      <c r="AF85" s="1632"/>
      <c r="AG85" s="1632"/>
      <c r="AH85" s="1160">
        <v>22</v>
      </c>
    </row>
    <row s="1366" customFormat="1" customHeight="1" ht="47.25" hidden="1">
      <c r="A86" s="2390"/>
      <c r="C86" s="1636"/>
      <c r="D86" s="1638"/>
      <c r="E86" s="546" t="str">
        <f>FHD_NUM_P_32</f>
        <v/>
      </c>
      <c r="F86" s="1650" t="str">
        <f>FHD_P_32</f>
        <v/>
      </c>
      <c r="G86" s="1875" t="s">
        <v>311</v>
      </c>
      <c r="H86" s="1649" t="s">
        <v>584</v>
      </c>
      <c r="I86" s="1649" t="s">
        <v>584</v>
      </c>
      <c r="J86" s="2504" t="s">
        <v>584</v>
      </c>
      <c r="K86" s="2504" t="s">
        <v>584</v>
      </c>
      <c r="L86" s="289" t="str">
        <f>FHD_NOTE_P_32</f>
        <v/>
      </c>
      <c r="M86" s="1636" t="str">
        <f>IF((LEN(E86)-LEN(SUBSTITUTE(E86,".","")))/LEN(".")=1,"p","")</f>
        <v/>
      </c>
      <c r="N86" s="1636">
        <f>_xlfn.IFERROR(MATCH("есть",B_FHD_FLAG_INDEX_2,0),0)</f>
        <v>0</v>
      </c>
      <c r="O86" s="1636"/>
      <c r="T86" s="1636"/>
      <c r="W86" s="544"/>
      <c r="AC86" s="1632"/>
      <c r="AD86" s="1632"/>
      <c r="AE86" s="1632"/>
      <c r="AF86" s="1632"/>
      <c r="AG86" s="1632"/>
      <c r="AH86" s="1160">
        <v>45</v>
      </c>
    </row>
    <row s="1366" customFormat="1" customHeight="1" ht="36.97915395100911">
      <c r="A87" s="987"/>
      <c r="C87" s="1636"/>
      <c r="D87" s="1638"/>
      <c r="E87" s="546" t="str">
        <f>FHD_NUM_P_33</f>
        <v>2.13</v>
      </c>
      <c r="F87"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87" s="1876" t="s">
        <v>555</v>
      </c>
      <c r="H87" s="579">
        <f>SUM(H88:H94)</f>
        <v>0</v>
      </c>
      <c r="I87" s="579">
        <f>SUM(I88:I94)</f>
        <v>15709</v>
      </c>
      <c r="J87" s="579">
        <f>SUM(J88:J94)</f>
        <v>3195.8</v>
      </c>
      <c r="K87" s="579">
        <f>SUM(K88:K94)</f>
        <v>1843.8</v>
      </c>
      <c r="L87"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87" s="1636" t="str">
        <f>IF((LEN(E87)-LEN(SUBSTITUTE(E87,".","")))/LEN(".")=1,"p","")</f>
        <v>p</v>
      </c>
      <c r="N87" s="1636"/>
      <c r="O87" s="1636"/>
      <c r="T87" s="1636"/>
      <c r="W87" s="544"/>
      <c r="AC87" s="1632"/>
      <c r="AD87" s="1632"/>
      <c r="AE87" s="1632"/>
      <c r="AF87" s="1632"/>
      <c r="AG87" s="1632"/>
      <c r="AH87" s="1160">
        <v>11</v>
      </c>
    </row>
    <row s="1642" customFormat="1" customHeight="1" ht="16.979153951009113">
      <c r="A88" s="1167"/>
      <c r="D88" s="548"/>
      <c r="E88" s="1013" t="str">
        <f>E87&amp;".0"</f>
        <v>2.13.0</v>
      </c>
      <c r="F88" s="991"/>
      <c r="G88" s="1013"/>
      <c r="H88" s="992"/>
      <c r="I88" s="992"/>
      <c r="J88" s="992"/>
      <c r="K88" s="992"/>
      <c r="L88" s="993"/>
      <c r="M88" s="1636" t="str">
        <f>IF((LEN(E88)-LEN(SUBSTITUTE(E88,".","")))/LEN(".")=1,"p","")</f>
        <v/>
      </c>
      <c r="AH88" s="1636">
        <v>1</v>
      </c>
    </row>
    <row s="1632" customFormat="1" customHeight="1" ht="22.5">
      <c r="A89" s="987"/>
      <c r="B89" s="1366"/>
      <c r="C89" s="1642"/>
      <c r="D89" s="683" t="s">
        <v>121</v>
      </c>
      <c r="E89" s="2331" t="str">
        <f>E87&amp;".1"</f>
        <v>2.13.1</v>
      </c>
      <c r="F89" s="540" t="s">
        <v>586</v>
      </c>
      <c r="G89" s="2331" t="s">
        <v>555</v>
      </c>
      <c r="H89" s="751"/>
      <c r="I89" s="751">
        <v>8606.9</v>
      </c>
      <c r="J89" s="751">
        <v>0</v>
      </c>
      <c r="K89" s="751">
        <v>954.2</v>
      </c>
      <c r="L89" s="542" t="s">
        <v>558</v>
      </c>
      <c r="M89" s="734"/>
      <c r="N89" s="1642"/>
      <c r="O89" s="1642"/>
      <c r="P89" s="1366"/>
      <c r="Q89" s="1366"/>
      <c r="R89" s="1366"/>
      <c r="S89" s="1366"/>
      <c r="T89" s="1642"/>
      <c r="U89" s="1366"/>
      <c r="V89" s="1366"/>
      <c r="W89" s="736"/>
      <c r="X89" s="1366"/>
      <c r="Y89" s="1366"/>
      <c r="Z89" s="1366"/>
      <c r="AA89" s="1366"/>
      <c r="AB89" s="1366"/>
      <c r="AC89" s="1632"/>
      <c r="AD89" s="1632"/>
      <c r="AE89" s="1632"/>
      <c r="AF89" s="1632"/>
      <c r="AG89" s="1632"/>
      <c r="AH89" s="1366">
        <v>0</v>
      </c>
    </row>
    <row s="1632" customFormat="1" customHeight="1" ht="22.5">
      <c r="A90" s="987"/>
      <c r="B90" s="1366"/>
      <c r="C90" s="1642"/>
      <c r="D90" s="683" t="s">
        <v>121</v>
      </c>
      <c r="E90" s="2331" t="str">
        <f>E87&amp;".2"</f>
        <v>2.13.2</v>
      </c>
      <c r="F90" s="540" t="s">
        <v>587</v>
      </c>
      <c r="G90" s="2331" t="s">
        <v>555</v>
      </c>
      <c r="H90" s="751"/>
      <c r="I90" s="751">
        <v>1540.2</v>
      </c>
      <c r="J90" s="751">
        <v>161</v>
      </c>
      <c r="K90" s="751">
        <v>249</v>
      </c>
      <c r="L90" s="542" t="s">
        <v>558</v>
      </c>
      <c r="M90" s="734"/>
      <c r="N90" s="1642"/>
      <c r="O90" s="1642"/>
      <c r="P90" s="1366"/>
      <c r="Q90" s="1366"/>
      <c r="R90" s="1366"/>
      <c r="S90" s="1366"/>
      <c r="T90" s="1642"/>
      <c r="U90" s="1366"/>
      <c r="V90" s="1366"/>
      <c r="W90" s="736"/>
      <c r="X90" s="1366"/>
      <c r="Y90" s="1366"/>
      <c r="Z90" s="1366"/>
      <c r="AA90" s="1366"/>
      <c r="AB90" s="1366"/>
      <c r="AC90" s="1632"/>
      <c r="AD90" s="1632"/>
      <c r="AE90" s="1632"/>
      <c r="AF90" s="1632"/>
      <c r="AG90" s="1632"/>
      <c r="AH90" s="1366">
        <v>0</v>
      </c>
    </row>
    <row s="1632" customFormat="1" customHeight="1" ht="22.5">
      <c r="A91" s="987"/>
      <c r="B91" s="1366"/>
      <c r="C91" s="1642"/>
      <c r="D91" s="683" t="s">
        <v>121</v>
      </c>
      <c r="E91" s="2331" t="str">
        <f>E87&amp;".3"</f>
        <v>2.13.3</v>
      </c>
      <c r="F91" s="540" t="s">
        <v>588</v>
      </c>
      <c r="G91" s="2331" t="s">
        <v>555</v>
      </c>
      <c r="H91" s="751"/>
      <c r="I91" s="751">
        <v>4207</v>
      </c>
      <c r="J91" s="751">
        <v>2936.7</v>
      </c>
      <c r="K91" s="751">
        <v>571.2</v>
      </c>
      <c r="L91" s="542" t="s">
        <v>558</v>
      </c>
      <c r="M91" s="734"/>
      <c r="N91" s="1642"/>
      <c r="O91" s="1642"/>
      <c r="P91" s="1366"/>
      <c r="Q91" s="1366"/>
      <c r="R91" s="1366"/>
      <c r="S91" s="1366"/>
      <c r="T91" s="1642"/>
      <c r="U91" s="1366"/>
      <c r="V91" s="1366"/>
      <c r="W91" s="736"/>
      <c r="X91" s="1366"/>
      <c r="Y91" s="1366"/>
      <c r="Z91" s="1366"/>
      <c r="AA91" s="1366"/>
      <c r="AB91" s="1366"/>
      <c r="AC91" s="1632"/>
      <c r="AD91" s="1632"/>
      <c r="AE91" s="1632"/>
      <c r="AF91" s="1632"/>
      <c r="AG91" s="1632"/>
      <c r="AH91" s="1366">
        <v>0</v>
      </c>
    </row>
    <row s="1632" customFormat="1" customHeight="1" ht="22.5">
      <c r="A92" s="987"/>
      <c r="B92" s="1366"/>
      <c r="C92" s="1642"/>
      <c r="D92" s="683" t="s">
        <v>121</v>
      </c>
      <c r="E92" s="2331" t="str">
        <f>E87&amp;".4"</f>
        <v>2.13.4</v>
      </c>
      <c r="F92" s="540" t="s">
        <v>589</v>
      </c>
      <c r="G92" s="2331" t="s">
        <v>555</v>
      </c>
      <c r="H92" s="751"/>
      <c r="I92" s="751">
        <v>127.9</v>
      </c>
      <c r="J92" s="751">
        <v>98.1</v>
      </c>
      <c r="K92" s="751">
        <v>69.4</v>
      </c>
      <c r="L92" s="542" t="s">
        <v>558</v>
      </c>
      <c r="M92" s="734"/>
      <c r="N92" s="1642"/>
      <c r="O92" s="1642"/>
      <c r="P92" s="1366"/>
      <c r="Q92" s="1366"/>
      <c r="R92" s="1366"/>
      <c r="S92" s="1366"/>
      <c r="T92" s="1642"/>
      <c r="U92" s="1366"/>
      <c r="V92" s="1366"/>
      <c r="W92" s="736"/>
      <c r="X92" s="1366"/>
      <c r="Y92" s="1366"/>
      <c r="Z92" s="1366"/>
      <c r="AA92" s="1366"/>
      <c r="AB92" s="1366"/>
      <c r="AC92" s="1632"/>
      <c r="AD92" s="1632"/>
      <c r="AE92" s="1632"/>
      <c r="AF92" s="1632"/>
      <c r="AG92" s="1632"/>
      <c r="AH92" s="1366">
        <v>0</v>
      </c>
    </row>
    <row s="1632" customFormat="1" customHeight="1" ht="22.5">
      <c r="A93" s="987"/>
      <c r="B93" s="1366"/>
      <c r="C93" s="1642"/>
      <c r="D93" s="683" t="s">
        <v>121</v>
      </c>
      <c r="E93" s="2331" t="str">
        <f>E87&amp;".5"</f>
        <v>2.13.5</v>
      </c>
      <c r="F93" s="540" t="s">
        <v>590</v>
      </c>
      <c r="G93" s="2331" t="s">
        <v>555</v>
      </c>
      <c r="H93" s="751"/>
      <c r="I93" s="751">
        <v>1227</v>
      </c>
      <c r="J93" s="751">
        <v>0</v>
      </c>
      <c r="K93" s="751">
        <v>0</v>
      </c>
      <c r="L93" s="542" t="s">
        <v>558</v>
      </c>
      <c r="M93" s="734"/>
      <c r="N93" s="1642"/>
      <c r="O93" s="1642"/>
      <c r="P93" s="1366"/>
      <c r="Q93" s="1366"/>
      <c r="R93" s="1366"/>
      <c r="S93" s="1366"/>
      <c r="T93" s="1642"/>
      <c r="U93" s="1366"/>
      <c r="V93" s="1366"/>
      <c r="W93" s="736"/>
      <c r="X93" s="1366"/>
      <c r="Y93" s="1366"/>
      <c r="Z93" s="1366"/>
      <c r="AA93" s="1366"/>
      <c r="AB93" s="1366"/>
      <c r="AC93" s="1632"/>
      <c r="AD93" s="1632"/>
      <c r="AE93" s="1632"/>
      <c r="AF93" s="1632"/>
      <c r="AG93" s="1632"/>
      <c r="AH93" s="1366">
        <v>0</v>
      </c>
    </row>
    <row s="1366" customFormat="1" customHeight="1" ht="14.699999999999998">
      <c r="A94" s="987"/>
      <c r="C94" s="1636"/>
      <c r="D94" s="1633"/>
      <c r="E94" s="570"/>
      <c r="F94" s="571" t="s">
        <v>591</v>
      </c>
      <c r="G94" s="572"/>
      <c r="H94" s="573"/>
      <c r="I94" s="573"/>
      <c r="J94" s="2658"/>
      <c r="K94" s="2659"/>
      <c r="L94" s="301"/>
      <c r="M94" s="1636"/>
      <c r="N94" s="1636"/>
      <c r="O94" s="1636"/>
      <c r="T94" s="1636"/>
      <c r="W94" s="544"/>
      <c r="AC94" s="1632"/>
      <c r="AD94" s="1632"/>
      <c r="AE94" s="1632"/>
      <c r="AF94" s="1632"/>
      <c r="AG94" s="1632"/>
      <c r="AH94" s="1160">
        <v>14</v>
      </c>
    </row>
    <row s="1366" customFormat="1" customHeight="1" ht="28.64582061767578">
      <c r="A95" s="989" t="s">
        <v>592</v>
      </c>
      <c r="C95" s="1636"/>
      <c r="D95" s="1638"/>
      <c r="E95" s="546" t="str">
        <f>FHD_NUM_P_34</f>
        <v>3</v>
      </c>
      <c r="F95" s="1877" t="str">
        <f>FHD_P_34</f>
        <v>Валовая прибыль (убытки) от реализации товаров и оказания услуг по регулируемому виду деятельности</v>
      </c>
      <c r="G95" s="1875" t="s">
        <v>555</v>
      </c>
      <c r="H95" s="557"/>
      <c r="I95" s="557">
        <v>9026.3</v>
      </c>
      <c r="J95" s="557">
        <v>87.7</v>
      </c>
      <c r="K95" s="557">
        <v>54.2</v>
      </c>
      <c r="L95" s="289" t="str">
        <f>FHD_NOTE_P_34</f>
        <v/>
      </c>
      <c r="M95" s="543"/>
      <c r="N95" s="1636"/>
      <c r="O95" s="1636"/>
      <c r="T95" s="1636"/>
      <c r="W95" s="544"/>
      <c r="AC95" s="1632"/>
      <c r="AD95" s="1632"/>
      <c r="AE95" s="1632"/>
      <c r="AF95" s="1632"/>
      <c r="AG95" s="1632"/>
      <c r="AH95" s="1160">
        <v>0</v>
      </c>
    </row>
    <row s="1366" customFormat="1" customHeight="1" ht="25.31248728434245">
      <c r="A96" s="987"/>
      <c r="C96" s="1636"/>
      <c r="D96" s="575"/>
      <c r="E96" s="546" t="str">
        <f>FHD_NUM_P_35</f>
        <v>4</v>
      </c>
      <c r="F96" s="1877" t="str">
        <f>FHD_P_35</f>
        <v>Чистая прибыль, полученная от регулируемого вида деятельности, в том числе:</v>
      </c>
      <c r="G96" s="1875" t="s">
        <v>555</v>
      </c>
      <c r="H96" s="557"/>
      <c r="I96" s="557">
        <v>0</v>
      </c>
      <c r="J96" s="557">
        <v>0</v>
      </c>
      <c r="K96" s="557">
        <v>0</v>
      </c>
      <c r="L96" s="289" t="str">
        <f>FHD_NOTE_P_35</f>
        <v>Указывается общая сумма чистой прибыли, полученной от регулируемого вида деятельности.</v>
      </c>
      <c r="M96" s="543"/>
      <c r="N96" s="1636"/>
      <c r="O96" s="1636"/>
      <c r="T96" s="1636"/>
      <c r="W96" s="544"/>
      <c r="AC96" s="1632"/>
      <c r="AD96" s="1632"/>
      <c r="AE96" s="1632"/>
      <c r="AF96" s="1632"/>
      <c r="AG96" s="1632"/>
      <c r="AH96" s="1160">
        <v>19</v>
      </c>
    </row>
    <row s="1366" customFormat="1" customHeight="1" ht="38.645820617675774">
      <c r="A97" s="987"/>
      <c r="C97" s="1636"/>
      <c r="D97" s="1638"/>
      <c r="E97" s="546" t="str">
        <f>FHD_NUM_P_36</f>
        <v>4.1</v>
      </c>
      <c r="F97"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97" s="1875" t="s">
        <v>555</v>
      </c>
      <c r="H97" s="557"/>
      <c r="I97" s="557">
        <v>0</v>
      </c>
      <c r="J97" s="557">
        <v>0</v>
      </c>
      <c r="K97" s="557">
        <v>0</v>
      </c>
      <c r="L97" s="289" t="str">
        <f>FHD_NOTE_P_36</f>
        <v/>
      </c>
      <c r="M97" s="543"/>
      <c r="N97" s="1636"/>
      <c r="O97" s="1636"/>
      <c r="T97" s="1636"/>
      <c r="W97" s="544"/>
      <c r="AC97" s="1632"/>
      <c r="AD97" s="1632"/>
      <c r="AE97" s="1632"/>
      <c r="AF97" s="1632"/>
      <c r="AG97" s="1632"/>
      <c r="AH97" s="1160">
        <v>19</v>
      </c>
    </row>
    <row s="1366" customFormat="1" customHeight="1" ht="19.95">
      <c r="A98" s="987"/>
      <c r="C98" s="1636"/>
      <c r="D98" s="1638"/>
      <c r="E98" s="546" t="str">
        <f>FHD_NUM_P_37</f>
        <v>5</v>
      </c>
      <c r="F98" s="1877" t="str">
        <f>FHD_P_37</f>
        <v>Изменение стоимости основных фондов, в том числе:</v>
      </c>
      <c r="G98" s="1875" t="s">
        <v>555</v>
      </c>
      <c r="H98" s="557"/>
      <c r="I98" s="557">
        <v>0</v>
      </c>
      <c r="J98" s="557">
        <v>0</v>
      </c>
      <c r="K98" s="557">
        <v>0</v>
      </c>
      <c r="L98" s="289" t="str">
        <f>FHD_NOTE_P_37</f>
        <v>Указывается общее изменение стоимости основных фондов.</v>
      </c>
      <c r="M98" s="543"/>
      <c r="N98" s="1636"/>
      <c r="O98" s="1636"/>
      <c r="T98" s="1636"/>
      <c r="W98" s="544"/>
      <c r="AC98" s="1632"/>
      <c r="AD98" s="1632"/>
      <c r="AE98" s="1632"/>
      <c r="AF98" s="1632"/>
      <c r="AG98" s="1632"/>
      <c r="AH98" s="1160">
        <v>19</v>
      </c>
    </row>
    <row s="1366" customFormat="1" customHeight="1" ht="19.95">
      <c r="A99" s="987"/>
      <c r="C99" s="1636"/>
      <c r="D99" s="1638"/>
      <c r="E99" s="546" t="str">
        <f>FHD_NUM_P_38</f>
        <v>5.1</v>
      </c>
      <c r="F99" s="1524" t="str">
        <f>FHD_P_38</f>
        <v>Изменение стоимости основных фондов за счет:</v>
      </c>
      <c r="G99" s="1875" t="s">
        <v>555</v>
      </c>
      <c r="H99" s="557"/>
      <c r="I99" s="557">
        <v>0</v>
      </c>
      <c r="J99" s="557">
        <v>0</v>
      </c>
      <c r="K99" s="557">
        <v>0</v>
      </c>
      <c r="L99" s="289" t="str">
        <f>FHD_NOTE_P_38</f>
        <v>Указываются общее изменение стоимости основных фондов за счет их ввода в эксплуатацию и вывода из эксплуатации.</v>
      </c>
      <c r="M99" s="543"/>
      <c r="N99" s="1636"/>
      <c r="O99" s="1636"/>
      <c r="T99" s="1636"/>
      <c r="W99" s="544"/>
      <c r="AC99" s="1632"/>
      <c r="AD99" s="1632"/>
      <c r="AE99" s="1632"/>
      <c r="AF99" s="1632"/>
      <c r="AG99" s="1632"/>
      <c r="AH99" s="1160">
        <v>19</v>
      </c>
    </row>
    <row s="1366" customFormat="1" customHeight="1" ht="23.64582061767578">
      <c r="A100" s="987"/>
      <c r="C100" s="1636"/>
      <c r="D100" s="1638"/>
      <c r="E100" s="546" t="str">
        <f>FHD_NUM_P_39</f>
        <v>5.1.1</v>
      </c>
      <c r="F100" s="1650" t="str">
        <f>FHD_P_39</f>
        <v>Изменения стоимости основных фондов за счет их ввода в эксплуатацию</v>
      </c>
      <c r="G100" s="2069" t="s">
        <v>555</v>
      </c>
      <c r="H100" s="557"/>
      <c r="I100" s="557">
        <v>0</v>
      </c>
      <c r="J100" s="557">
        <v>0</v>
      </c>
      <c r="K100" s="557">
        <v>0</v>
      </c>
      <c r="L100" s="289" t="str">
        <f>FHD_NOTE_P_39</f>
        <v>Указываются изменение стоимости основных фондов за счет их ввода в эксплуатацию.</v>
      </c>
      <c r="M100" s="543"/>
      <c r="N100" s="1636"/>
      <c r="O100" s="1636"/>
      <c r="T100" s="1636"/>
      <c r="W100" s="544"/>
      <c r="AC100" s="1632"/>
      <c r="AD100" s="1632"/>
      <c r="AE100" s="1632"/>
      <c r="AF100" s="1632"/>
      <c r="AG100" s="1632"/>
      <c r="AH100" s="1160">
        <v>19</v>
      </c>
    </row>
    <row s="1366" customFormat="1" customHeight="1" ht="25.31248728434245">
      <c r="A101" s="987"/>
      <c r="C101" s="1636"/>
      <c r="D101" s="1638"/>
      <c r="E101" s="546" t="str">
        <f>FHD_NUM_P_40</f>
        <v>5.1.2</v>
      </c>
      <c r="F101" s="2073" t="str">
        <f>FHD_P_40</f>
        <v>Изменения стоимости основных фондов за счет их вывода в эксплуатацию</v>
      </c>
      <c r="G101" s="2068" t="s">
        <v>555</v>
      </c>
      <c r="H101" s="976"/>
      <c r="I101" s="557">
        <v>0</v>
      </c>
      <c r="J101" s="976">
        <v>0</v>
      </c>
      <c r="K101" s="976">
        <v>0</v>
      </c>
      <c r="L101" s="289" t="str">
        <f>FHD_NOTE_P_40</f>
        <v>Указываются изменение стоимости основных фондов за счет их вывода из эксплуатации.</v>
      </c>
      <c r="M101" s="543"/>
      <c r="N101" s="1636"/>
      <c r="O101" s="1636"/>
      <c r="T101" s="1636"/>
      <c r="W101" s="544"/>
      <c r="AC101" s="1632"/>
      <c r="AD101" s="1632"/>
      <c r="AE101" s="1632"/>
      <c r="AF101" s="1632"/>
      <c r="AG101" s="1632"/>
      <c r="AH101" s="1160">
        <v>19</v>
      </c>
    </row>
    <row s="1366" customFormat="1" customHeight="1" ht="23.64582061767578">
      <c r="A102" s="987"/>
      <c r="C102" s="1636"/>
      <c r="D102" s="1638"/>
      <c r="E102" s="546" t="str">
        <f>FHD_NUM_P_41</f>
        <v>5.2</v>
      </c>
      <c r="F102" s="2072" t="str">
        <f>FHD_P_41</f>
        <v>Изменение стоимости основных фондов за счет их переоценки</v>
      </c>
      <c r="G102" s="2068" t="s">
        <v>555</v>
      </c>
      <c r="H102" s="976"/>
      <c r="I102" s="557">
        <v>0</v>
      </c>
      <c r="J102" s="976">
        <v>0</v>
      </c>
      <c r="K102" s="976">
        <v>0</v>
      </c>
      <c r="L102" s="289" t="str">
        <f>FHD_NOTE_P_41</f>
        <v/>
      </c>
      <c r="M102" s="543"/>
      <c r="N102" s="1636"/>
      <c r="O102" s="1636"/>
      <c r="T102" s="1636"/>
      <c r="W102" s="544"/>
      <c r="AC102" s="1632"/>
      <c r="AD102" s="1632"/>
      <c r="AE102" s="1632"/>
      <c r="AF102" s="1632"/>
      <c r="AG102" s="1632"/>
      <c r="AH102" s="1160">
        <v>19</v>
      </c>
    </row>
    <row s="1366" customFormat="1" customHeight="1" ht="19.95" hidden="1">
      <c r="A103" s="989" t="s">
        <v>593</v>
      </c>
      <c r="C103" s="1636"/>
      <c r="D103" s="1638"/>
      <c r="E103" s="546" t="str">
        <f>FHD_NUM_P_42</f>
        <v/>
      </c>
      <c r="F103" s="2070" t="str">
        <f>FHD_P_42</f>
        <v/>
      </c>
      <c r="G103" s="2068" t="s">
        <v>555</v>
      </c>
      <c r="H103" s="976"/>
      <c r="I103" s="557"/>
      <c r="J103" s="976"/>
      <c r="K103" s="976"/>
      <c r="L103" s="289" t="str">
        <f>FHD_NOTE_P_42</f>
        <v/>
      </c>
      <c r="M103" s="543"/>
      <c r="N103" s="1636"/>
      <c r="O103" s="1636"/>
      <c r="T103" s="1636"/>
      <c r="W103" s="544"/>
      <c r="AC103" s="1632"/>
      <c r="AD103" s="1632"/>
      <c r="AE103" s="1632"/>
      <c r="AF103" s="1632"/>
      <c r="AG103" s="1632"/>
      <c r="AH103" s="1160">
        <v>19</v>
      </c>
    </row>
    <row s="1366" customFormat="1" customHeight="1" ht="29.47915395100911">
      <c r="A104" s="987"/>
      <c r="C104" s="1636" t="s">
        <v>594</v>
      </c>
      <c r="D104" s="1638"/>
      <c r="E104" s="546" t="str">
        <f>FHD_NUM_P_43</f>
        <v>6</v>
      </c>
      <c r="F104" s="1877" t="str">
        <f>FHD_P_43</f>
        <v>Годовая бухгалтерская (финансовая) отчетность, включая бухгалтерский баланс и приложения к нему</v>
      </c>
      <c r="G104" s="2071" t="s">
        <v>311</v>
      </c>
      <c r="H104" s="1055"/>
      <c r="I104" s="2660" t="s">
        <v>595</v>
      </c>
      <c r="J104" s="2661" t="s">
        <v>595</v>
      </c>
      <c r="K104" s="2661" t="s">
        <v>595</v>
      </c>
      <c r="L104"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104" s="543"/>
      <c r="N104" s="1636"/>
      <c r="O104" s="1636"/>
      <c r="T104" s="1636"/>
      <c r="W104" s="544"/>
      <c r="AC104" s="1632"/>
      <c r="AD104" s="1632"/>
      <c r="AE104" s="1632"/>
      <c r="AF104" s="1632"/>
      <c r="AG104" s="1632"/>
      <c r="AH104" s="1160">
        <v>19</v>
      </c>
    </row>
    <row s="1366" customFormat="1" customHeight="1" ht="18.75" hidden="1">
      <c r="A105" s="2390" t="s">
        <v>596</v>
      </c>
      <c r="C105" s="735"/>
      <c r="D105" s="733"/>
      <c r="E105" s="546" t="str">
        <f>FHD_NUM_P_44</f>
        <v/>
      </c>
      <c r="F105" s="1877" t="str">
        <f>FHD_P_44</f>
        <v/>
      </c>
      <c r="G105" s="1878" t="s">
        <v>597</v>
      </c>
      <c r="H105" s="977"/>
      <c r="I105" s="577"/>
      <c r="J105" s="977"/>
      <c r="K105" s="977"/>
      <c r="L105" s="289" t="str">
        <f>FHD_NOTE_P_44</f>
        <v/>
      </c>
      <c r="M105" s="734"/>
      <c r="N105" s="735"/>
      <c r="O105" s="735"/>
      <c r="T105" s="735"/>
      <c r="W105" s="736"/>
      <c r="AC105" s="737"/>
      <c r="AD105" s="737"/>
      <c r="AE105" s="737"/>
      <c r="AF105" s="737"/>
      <c r="AG105" s="737"/>
      <c r="AH105" s="910">
        <v>0</v>
      </c>
    </row>
    <row s="1366" customFormat="1" customHeight="1" ht="18.75" hidden="1">
      <c r="A106" s="2390"/>
      <c r="C106" s="735"/>
      <c r="D106" s="733"/>
      <c r="E106" s="546" t="str">
        <f>FHD_NUM_P_45</f>
        <v/>
      </c>
      <c r="F106" s="1877" t="str">
        <f>FHD_P_45</f>
        <v/>
      </c>
      <c r="G106" s="1878" t="s">
        <v>597</v>
      </c>
      <c r="H106" s="977"/>
      <c r="I106" s="577"/>
      <c r="J106" s="977"/>
      <c r="K106" s="977"/>
      <c r="L106" s="289" t="str">
        <f>FHD_NOTE_P_45</f>
        <v/>
      </c>
      <c r="M106" s="734"/>
      <c r="N106" s="735"/>
      <c r="O106" s="735"/>
      <c r="T106" s="735"/>
      <c r="W106" s="736"/>
      <c r="AC106" s="737"/>
      <c r="AD106" s="737"/>
      <c r="AE106" s="737"/>
      <c r="AF106" s="737"/>
      <c r="AG106" s="737"/>
      <c r="AH106" s="910">
        <v>0</v>
      </c>
    </row>
    <row s="1366" customFormat="1" customHeight="1" ht="18.75" hidden="1">
      <c r="A107" s="2390"/>
      <c r="C107" s="735"/>
      <c r="D107" s="738"/>
      <c r="E107" s="546" t="str">
        <f>FHD_NUM_P_46</f>
        <v/>
      </c>
      <c r="F107" s="1877" t="str">
        <f>FHD_P_46</f>
        <v/>
      </c>
      <c r="G107" s="1878" t="s">
        <v>597</v>
      </c>
      <c r="H107" s="977"/>
      <c r="I107" s="577"/>
      <c r="J107" s="977"/>
      <c r="K107" s="977"/>
      <c r="L107" s="289" t="str">
        <f>FHD_NOTE_P_46</f>
        <v/>
      </c>
      <c r="M107" s="734"/>
      <c r="N107" s="735"/>
      <c r="O107" s="735"/>
      <c r="T107" s="735"/>
      <c r="W107" s="736"/>
      <c r="AC107" s="737"/>
      <c r="AD107" s="737"/>
      <c r="AE107" s="737"/>
      <c r="AF107" s="737"/>
      <c r="AG107" s="737"/>
      <c r="AH107" s="910">
        <v>0</v>
      </c>
    </row>
    <row s="1366" customFormat="1" customHeight="1" ht="18.75" hidden="1">
      <c r="A108" s="2390"/>
      <c r="C108" s="735"/>
      <c r="D108" s="733"/>
      <c r="E108" s="546" t="str">
        <f>FHD_NUM_P_47</f>
        <v/>
      </c>
      <c r="F108" s="1877" t="str">
        <f>FHD_P_47</f>
        <v/>
      </c>
      <c r="G108" s="1878" t="s">
        <v>597</v>
      </c>
      <c r="H108" s="977"/>
      <c r="I108" s="577"/>
      <c r="J108" s="977"/>
      <c r="K108" s="977"/>
      <c r="L108" s="289" t="str">
        <f>FHD_NOTE_P_47</f>
        <v/>
      </c>
      <c r="M108" s="734"/>
      <c r="N108" s="735"/>
      <c r="O108" s="735"/>
      <c r="T108" s="735"/>
      <c r="W108" s="736"/>
      <c r="AC108" s="737"/>
      <c r="AD108" s="737"/>
      <c r="AE108" s="737"/>
      <c r="AF108" s="737"/>
      <c r="AG108" s="737"/>
      <c r="AH108" s="910">
        <v>0</v>
      </c>
    </row>
    <row s="1635" customFormat="1" customHeight="1" ht="18.75" hidden="1">
      <c r="A109" s="2390"/>
      <c r="B109" s="910"/>
      <c r="C109" s="735"/>
      <c r="D109" s="733"/>
      <c r="E109" s="546" t="str">
        <f>FHD_NUM_P_48</f>
        <v/>
      </c>
      <c r="F109" s="1877" t="str">
        <f>FHD_P_48</f>
        <v/>
      </c>
      <c r="G109" s="1878" t="s">
        <v>597</v>
      </c>
      <c r="H109" s="977"/>
      <c r="I109" s="577"/>
      <c r="J109" s="977"/>
      <c r="K109" s="977"/>
      <c r="L109" s="289" t="str">
        <f>FHD_NOTE_P_48</f>
        <v/>
      </c>
      <c r="M109" s="734"/>
      <c r="N109" s="735"/>
      <c r="O109" s="735"/>
      <c r="P109" s="910"/>
      <c r="Q109" s="910"/>
      <c r="R109" s="910"/>
      <c r="S109" s="910"/>
      <c r="T109" s="735"/>
      <c r="U109" s="910"/>
      <c r="V109" s="910"/>
      <c r="W109" s="736"/>
      <c r="X109" s="910"/>
      <c r="Y109" s="910"/>
      <c r="Z109" s="910"/>
      <c r="AA109" s="910"/>
      <c r="AB109" s="910"/>
      <c r="AC109" s="737"/>
      <c r="AD109" s="737"/>
      <c r="AE109" s="737"/>
      <c r="AF109" s="737"/>
      <c r="AG109" s="737"/>
      <c r="AH109" s="739">
        <v>0</v>
      </c>
    </row>
    <row s="1635" customFormat="1" customHeight="1" ht="18.75" hidden="1">
      <c r="A110" s="2390"/>
      <c r="B110" s="910"/>
      <c r="C110" s="735"/>
      <c r="D110" s="733"/>
      <c r="E110" s="546" t="str">
        <f>FHD_NUM_P_49</f>
        <v/>
      </c>
      <c r="F110" s="1877" t="str">
        <f>FHD_P_49</f>
        <v/>
      </c>
      <c r="G110" s="1878" t="s">
        <v>597</v>
      </c>
      <c r="H110" s="978">
        <f>SUM(H111:H112)</f>
        <v>0</v>
      </c>
      <c r="I110" s="749">
        <f>SUM(I111:I112)</f>
        <v>0</v>
      </c>
      <c r="J110" s="978">
        <f>SUM(J111:J112)</f>
        <v>0</v>
      </c>
      <c r="K110" s="978">
        <f>SUM(K111:K112)</f>
        <v>0</v>
      </c>
      <c r="L110" s="289" t="str">
        <f>FHD_NOTE_P_49</f>
        <v/>
      </c>
      <c r="M110" s="734"/>
      <c r="N110" s="735"/>
      <c r="O110" s="735"/>
      <c r="P110" s="910"/>
      <c r="Q110" s="910"/>
      <c r="R110" s="910"/>
      <c r="S110" s="910"/>
      <c r="T110" s="735"/>
      <c r="U110" s="910"/>
      <c r="V110" s="910"/>
      <c r="W110" s="736"/>
      <c r="X110" s="910"/>
      <c r="Y110" s="910"/>
      <c r="Z110" s="910"/>
      <c r="AA110" s="910"/>
      <c r="AB110" s="910"/>
      <c r="AC110" s="737"/>
      <c r="AD110" s="737"/>
      <c r="AE110" s="737"/>
      <c r="AF110" s="737"/>
      <c r="AG110" s="737"/>
      <c r="AH110" s="739">
        <v>0</v>
      </c>
    </row>
    <row s="1635" customFormat="1" customHeight="1" ht="18.75" hidden="1">
      <c r="A111" s="2390"/>
      <c r="B111" s="910"/>
      <c r="C111" s="735"/>
      <c r="D111" s="733"/>
      <c r="E111" s="546" t="str">
        <f>FHD_NUM_P_50</f>
        <v/>
      </c>
      <c r="F111" s="1877" t="str">
        <f>FHD_P_50</f>
        <v/>
      </c>
      <c r="G111" s="1878" t="s">
        <v>597</v>
      </c>
      <c r="H111" s="977"/>
      <c r="I111" s="577"/>
      <c r="J111" s="977"/>
      <c r="K111" s="977"/>
      <c r="L111" s="289" t="str">
        <f>FHD_NOTE_P_50</f>
        <v/>
      </c>
      <c r="M111" s="734"/>
      <c r="N111" s="735"/>
      <c r="O111" s="735"/>
      <c r="P111" s="910"/>
      <c r="Q111" s="910"/>
      <c r="R111" s="910"/>
      <c r="S111" s="910"/>
      <c r="T111" s="735"/>
      <c r="U111" s="910"/>
      <c r="V111" s="910"/>
      <c r="W111" s="736"/>
      <c r="X111" s="910"/>
      <c r="Y111" s="910"/>
      <c r="Z111" s="910"/>
      <c r="AA111" s="910"/>
      <c r="AB111" s="910"/>
      <c r="AC111" s="737"/>
      <c r="AD111" s="737"/>
      <c r="AE111" s="737"/>
      <c r="AF111" s="737"/>
      <c r="AG111" s="737"/>
      <c r="AH111" s="739">
        <v>0</v>
      </c>
    </row>
    <row s="1635" customFormat="1" customHeight="1" ht="18.75" hidden="1">
      <c r="A112" s="2390"/>
      <c r="B112" s="910"/>
      <c r="C112" s="735"/>
      <c r="D112" s="733"/>
      <c r="E112" s="546" t="str">
        <f>FHD_NUM_P_51</f>
        <v/>
      </c>
      <c r="F112" s="1877" t="str">
        <f>FHD_P_51</f>
        <v/>
      </c>
      <c r="G112" s="1878" t="s">
        <v>597</v>
      </c>
      <c r="H112" s="977"/>
      <c r="I112" s="577"/>
      <c r="J112" s="977"/>
      <c r="K112" s="977"/>
      <c r="L112" s="289" t="str">
        <f>FHD_NOTE_P_51</f>
        <v/>
      </c>
      <c r="M112" s="734"/>
      <c r="N112" s="735"/>
      <c r="O112" s="735"/>
      <c r="P112" s="910"/>
      <c r="Q112" s="910"/>
      <c r="R112" s="910"/>
      <c r="S112" s="910"/>
      <c r="T112" s="735"/>
      <c r="U112" s="910"/>
      <c r="V112" s="910"/>
      <c r="W112" s="736"/>
      <c r="X112" s="910"/>
      <c r="Y112" s="910"/>
      <c r="Z112" s="910"/>
      <c r="AA112" s="910"/>
      <c r="AB112" s="910"/>
      <c r="AC112" s="737"/>
      <c r="AD112" s="737"/>
      <c r="AE112" s="737"/>
      <c r="AF112" s="737"/>
      <c r="AG112" s="737"/>
      <c r="AH112" s="739">
        <v>0</v>
      </c>
    </row>
    <row s="1635" customFormat="1" customHeight="1" ht="18.75" hidden="1">
      <c r="A113" s="2390"/>
      <c r="B113" s="910"/>
      <c r="C113" s="735"/>
      <c r="D113" s="733"/>
      <c r="E113" s="546" t="str">
        <f>FHD_NUM_P_52</f>
        <v/>
      </c>
      <c r="F113" s="1877" t="str">
        <f>FHD_P_52</f>
        <v/>
      </c>
      <c r="G113" s="1878" t="s">
        <v>561</v>
      </c>
      <c r="H113" s="976"/>
      <c r="I113" s="557"/>
      <c r="J113" s="976"/>
      <c r="K113" s="976"/>
      <c r="L113" s="289" t="str">
        <f>FHD_NOTE_P_52</f>
        <v/>
      </c>
      <c r="M113" s="734"/>
      <c r="N113" s="735"/>
      <c r="O113" s="735"/>
      <c r="P113" s="910"/>
      <c r="Q113" s="910"/>
      <c r="R113" s="910"/>
      <c r="S113" s="910"/>
      <c r="T113" s="735"/>
      <c r="U113" s="910"/>
      <c r="V113" s="910"/>
      <c r="W113" s="736"/>
      <c r="X113" s="910"/>
      <c r="Y113" s="910"/>
      <c r="Z113" s="910"/>
      <c r="AA113" s="910"/>
      <c r="AB113" s="910"/>
      <c r="AC113" s="737"/>
      <c r="AD113" s="737"/>
      <c r="AE113" s="737"/>
      <c r="AF113" s="737"/>
      <c r="AG113" s="737"/>
      <c r="AH113" s="739">
        <v>0</v>
      </c>
    </row>
    <row s="1366" customFormat="1" customHeight="1" ht="18.75" hidden="1">
      <c r="A114" s="2392" t="s">
        <v>598</v>
      </c>
      <c r="C114" s="735"/>
      <c r="D114" s="733"/>
      <c r="E114" s="546" t="str">
        <f>FHD_NUM_P_53</f>
        <v/>
      </c>
      <c r="F114" s="1877" t="str">
        <f>FHD_P_53</f>
        <v/>
      </c>
      <c r="G114" s="1878" t="s">
        <v>597</v>
      </c>
      <c r="H114" s="977"/>
      <c r="I114" s="577"/>
      <c r="J114" s="977"/>
      <c r="K114" s="977"/>
      <c r="L114" s="289" t="str">
        <f>FHD_NOTE_P_53</f>
        <v/>
      </c>
      <c r="M114" s="734"/>
      <c r="N114" s="735"/>
      <c r="O114" s="735"/>
      <c r="T114" s="735"/>
      <c r="W114" s="736"/>
      <c r="AC114" s="737"/>
      <c r="AD114" s="737"/>
      <c r="AE114" s="737"/>
      <c r="AF114" s="737"/>
      <c r="AG114" s="737"/>
      <c r="AH114" s="910">
        <v>0</v>
      </c>
    </row>
    <row s="1366" customFormat="1" customHeight="1" ht="18.75" hidden="1">
      <c r="A115" s="2392"/>
      <c r="C115" s="735"/>
      <c r="D115" s="733"/>
      <c r="E115" s="546" t="str">
        <f>FHD_NUM_P_54</f>
        <v/>
      </c>
      <c r="F115" s="1877" t="str">
        <f>FHD_P_54</f>
        <v/>
      </c>
      <c r="G115" s="1878" t="s">
        <v>597</v>
      </c>
      <c r="H115" s="977"/>
      <c r="I115" s="577"/>
      <c r="J115" s="977"/>
      <c r="K115" s="977"/>
      <c r="L115" s="289" t="str">
        <f>FHD_NOTE_P_54</f>
        <v/>
      </c>
      <c r="M115" s="734"/>
      <c r="N115" s="735"/>
      <c r="O115" s="735"/>
      <c r="T115" s="735"/>
      <c r="W115" s="736"/>
      <c r="AC115" s="737"/>
      <c r="AD115" s="737"/>
      <c r="AE115" s="737"/>
      <c r="AF115" s="737"/>
      <c r="AG115" s="737"/>
      <c r="AH115" s="910">
        <v>0</v>
      </c>
    </row>
    <row s="1366" customFormat="1" customHeight="1" ht="18.75" hidden="1">
      <c r="A116" s="2392"/>
      <c r="C116" s="735"/>
      <c r="D116" s="738"/>
      <c r="E116" s="546" t="str">
        <f>FHD_NUM_P_55</f>
        <v/>
      </c>
      <c r="F116" s="1877" t="str">
        <f>FHD_P_55</f>
        <v/>
      </c>
      <c r="G116" s="1881"/>
      <c r="H116" s="977"/>
      <c r="I116" s="577"/>
      <c r="J116" s="977"/>
      <c r="K116" s="977"/>
      <c r="L116" s="289" t="str">
        <f>FHD_NOTE_P_55</f>
        <v/>
      </c>
      <c r="M116" s="734"/>
      <c r="N116" s="735"/>
      <c r="O116" s="735"/>
      <c r="T116" s="735"/>
      <c r="W116" s="736"/>
      <c r="AC116" s="737"/>
      <c r="AD116" s="737"/>
      <c r="AE116" s="737"/>
      <c r="AF116" s="737"/>
      <c r="AG116" s="737"/>
      <c r="AH116" s="910">
        <v>0</v>
      </c>
    </row>
    <row s="1366" customFormat="1" customHeight="1" ht="18.75" hidden="1">
      <c r="A117" s="2392"/>
      <c r="C117" s="735"/>
      <c r="D117" s="733"/>
      <c r="E117" s="546" t="str">
        <f>FHD_NUM_P_56</f>
        <v/>
      </c>
      <c r="F117" s="1877" t="str">
        <f>FHD_P_56</f>
        <v/>
      </c>
      <c r="G117" s="1878" t="s">
        <v>599</v>
      </c>
      <c r="H117" s="977"/>
      <c r="I117" s="577"/>
      <c r="J117" s="977"/>
      <c r="K117" s="977"/>
      <c r="L117" s="289" t="str">
        <f>FHD_NOTE_P_56</f>
        <v/>
      </c>
      <c r="M117" s="734"/>
      <c r="N117" s="735"/>
      <c r="O117" s="735"/>
      <c r="T117" s="735"/>
      <c r="W117" s="736"/>
      <c r="AC117" s="737"/>
      <c r="AD117" s="737"/>
      <c r="AE117" s="737"/>
      <c r="AF117" s="737"/>
      <c r="AG117" s="737"/>
      <c r="AH117" s="910">
        <v>0</v>
      </c>
    </row>
    <row s="1635" customFormat="1" customHeight="1" ht="18.75" hidden="1">
      <c r="A118" s="2392"/>
      <c r="B118" s="910"/>
      <c r="C118" s="735"/>
      <c r="D118" s="733"/>
      <c r="E118" s="546" t="str">
        <f>FHD_NUM_P_57</f>
        <v/>
      </c>
      <c r="F118" s="1877" t="str">
        <f>FHD_P_57</f>
        <v/>
      </c>
      <c r="G118" s="1878" t="s">
        <v>561</v>
      </c>
      <c r="H118" s="976"/>
      <c r="I118" s="557"/>
      <c r="J118" s="976"/>
      <c r="K118" s="976"/>
      <c r="L118" s="289" t="str">
        <f>FHD_NOTE_P_57</f>
        <v/>
      </c>
      <c r="M118" s="734"/>
      <c r="N118" s="735"/>
      <c r="O118" s="735"/>
      <c r="P118" s="910"/>
      <c r="Q118" s="910"/>
      <c r="R118" s="910"/>
      <c r="S118" s="910"/>
      <c r="T118" s="735"/>
      <c r="U118" s="910"/>
      <c r="V118" s="910"/>
      <c r="W118" s="736"/>
      <c r="X118" s="910"/>
      <c r="Y118" s="910"/>
      <c r="Z118" s="910"/>
      <c r="AA118" s="910"/>
      <c r="AB118" s="910"/>
      <c r="AC118" s="737"/>
      <c r="AD118" s="737"/>
      <c r="AE118" s="737"/>
      <c r="AF118" s="737"/>
      <c r="AG118" s="737"/>
      <c r="AH118" s="739">
        <v>0</v>
      </c>
    </row>
    <row customHeight="1" ht="18.75" hidden="1">
      <c r="A119" s="2390" t="s">
        <v>600</v>
      </c>
      <c r="D119" s="1638"/>
      <c r="E119" s="546" t="str">
        <f>FHD_NUM_P_58</f>
        <v/>
      </c>
      <c r="F119" s="1877" t="str">
        <f>FHD_P_58</f>
        <v/>
      </c>
      <c r="G119" s="1878" t="s">
        <v>597</v>
      </c>
      <c r="H119" s="977"/>
      <c r="I119" s="577"/>
      <c r="J119" s="977"/>
      <c r="K119" s="977"/>
      <c r="L119" s="289" t="str">
        <f>FHD_NOTE_P_58</f>
        <v/>
      </c>
      <c r="M119" s="543"/>
      <c r="AH119" s="1631">
        <v>0</v>
      </c>
    </row>
    <row customHeight="1" ht="18.75" hidden="1">
      <c r="A120" s="2390"/>
      <c r="D120" s="1638"/>
      <c r="E120" s="546" t="str">
        <f>FHD_NUM_P_59</f>
        <v/>
      </c>
      <c r="F120" s="1877" t="str">
        <f>FHD_P_59</f>
        <v/>
      </c>
      <c r="G120" s="1878" t="s">
        <v>597</v>
      </c>
      <c r="H120" s="977"/>
      <c r="I120" s="577"/>
      <c r="J120" s="977"/>
      <c r="K120" s="977"/>
      <c r="L120" s="289" t="str">
        <f>FHD_NOTE_P_59</f>
        <v/>
      </c>
      <c r="M120" s="543"/>
      <c r="AH120" s="1631">
        <v>0</v>
      </c>
    </row>
    <row customHeight="1" ht="18.75" hidden="1">
      <c r="A121" s="2390"/>
      <c r="D121" s="1638"/>
      <c r="E121" s="546" t="str">
        <f>FHD_NUM_P_60</f>
        <v/>
      </c>
      <c r="F121" s="1877" t="str">
        <f>FHD_P_60</f>
        <v/>
      </c>
      <c r="G121" s="1878" t="s">
        <v>597</v>
      </c>
      <c r="H121" s="977"/>
      <c r="I121" s="577"/>
      <c r="J121" s="977"/>
      <c r="K121" s="977"/>
      <c r="L121" s="289" t="str">
        <f>FHD_NOTE_P_60</f>
        <v/>
      </c>
      <c r="M121" s="543"/>
      <c r="AH121" s="1631">
        <v>0</v>
      </c>
    </row>
    <row s="1366" customFormat="1" customHeight="1" ht="39.47915395100912">
      <c r="A122" s="2390" t="s">
        <v>601</v>
      </c>
      <c r="C122" s="1636"/>
      <c r="D122" s="1638"/>
      <c r="E122" s="546" t="str">
        <f>FHD_NUM_P_61</f>
        <v>7</v>
      </c>
      <c r="F122" s="187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22" s="1875" t="s">
        <v>559</v>
      </c>
      <c r="H122" s="979"/>
      <c r="I122" s="742">
        <f>I124+I125+I126</f>
        <v>60.63</v>
      </c>
      <c r="J122" s="979">
        <f>J127+J128</f>
        <v>12.47</v>
      </c>
      <c r="K122" s="979">
        <f>K129</f>
        <v>2.15</v>
      </c>
      <c r="L122"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122" s="543"/>
      <c r="N122" s="1636"/>
      <c r="O122" s="1636"/>
      <c r="T122" s="1636"/>
      <c r="W122" s="544"/>
      <c r="AC122" s="1632"/>
      <c r="AD122" s="1632"/>
      <c r="AE122" s="1632"/>
      <c r="AF122" s="1632"/>
      <c r="AG122" s="1632"/>
      <c r="AH122" s="1160">
        <v>0</v>
      </c>
    </row>
    <row s="1642" customFormat="1" customHeight="1" ht="5.312487284342447">
      <c r="A123" s="2390"/>
      <c r="D123" s="548"/>
      <c r="E123" s="1013" t="str">
        <f>E122&amp;".0"</f>
        <v>7.0</v>
      </c>
      <c r="F123" s="994"/>
      <c r="G123" s="995"/>
      <c r="H123" s="992"/>
      <c r="I123" s="992"/>
      <c r="J123" s="992"/>
      <c r="K123" s="992"/>
      <c r="L123" s="996"/>
      <c r="AH123" s="1636">
        <v>0</v>
      </c>
    </row>
    <row s="1847" customFormat="1" customHeight="1" ht="18.75">
      <c r="A124" s="987"/>
      <c r="B124" s="1366"/>
      <c r="C124" s="1642"/>
      <c r="D124" s="683" t="s">
        <v>121</v>
      </c>
      <c r="E124" s="546" t="str">
        <f>E122&amp;".1"</f>
        <v>7.1</v>
      </c>
      <c r="F124" s="540" t="s">
        <v>602</v>
      </c>
      <c r="G124" s="2331" t="s">
        <v>559</v>
      </c>
      <c r="H124" s="751"/>
      <c r="I124" s="751">
        <v>44.4</v>
      </c>
      <c r="J124" s="751"/>
      <c r="K124" s="751"/>
      <c r="L124" s="1525" t="s">
        <v>560</v>
      </c>
      <c r="M124" s="734"/>
      <c r="N124" s="1642"/>
      <c r="O124" s="1642"/>
      <c r="P124" s="1366"/>
      <c r="Q124" s="1366"/>
      <c r="R124" s="1366"/>
      <c r="S124" s="1366"/>
      <c r="T124" s="1642"/>
      <c r="U124" s="1366"/>
      <c r="V124" s="1366"/>
      <c r="W124" s="736"/>
      <c r="X124" s="1366"/>
      <c r="Y124" s="1366"/>
      <c r="Z124" s="1366"/>
      <c r="AA124" s="1366"/>
      <c r="AB124" s="1366"/>
      <c r="AC124" s="1632"/>
      <c r="AD124" s="1632"/>
      <c r="AE124" s="1632"/>
      <c r="AF124" s="1632"/>
      <c r="AG124" s="1632"/>
      <c r="AH124" s="1635">
        <v>0</v>
      </c>
    </row>
    <row s="1847" customFormat="1" customHeight="1" ht="18.75">
      <c r="A125" s="987"/>
      <c r="B125" s="1366"/>
      <c r="C125" s="1642"/>
      <c r="D125" s="683" t="s">
        <v>121</v>
      </c>
      <c r="E125" s="546" t="str">
        <f>E122&amp;".2"</f>
        <v>7.2</v>
      </c>
      <c r="F125" s="540" t="s">
        <v>603</v>
      </c>
      <c r="G125" s="2331" t="s">
        <v>559</v>
      </c>
      <c r="H125" s="751"/>
      <c r="I125" s="751">
        <v>16</v>
      </c>
      <c r="J125" s="751"/>
      <c r="K125" s="751"/>
      <c r="L125" s="1525" t="s">
        <v>560</v>
      </c>
      <c r="M125" s="734"/>
      <c r="N125" s="1642"/>
      <c r="O125" s="1642"/>
      <c r="P125" s="1366"/>
      <c r="Q125" s="1366"/>
      <c r="R125" s="1366"/>
      <c r="S125" s="1366"/>
      <c r="T125" s="1642"/>
      <c r="U125" s="1366"/>
      <c r="V125" s="1366"/>
      <c r="W125" s="736"/>
      <c r="X125" s="1366"/>
      <c r="Y125" s="1366"/>
      <c r="Z125" s="1366"/>
      <c r="AA125" s="1366"/>
      <c r="AB125" s="1366"/>
      <c r="AC125" s="1632"/>
      <c r="AD125" s="1632"/>
      <c r="AE125" s="1632"/>
      <c r="AF125" s="1632"/>
      <c r="AG125" s="1632"/>
      <c r="AH125" s="1635">
        <v>0</v>
      </c>
    </row>
    <row s="1847" customFormat="1" customHeight="1" ht="18.75">
      <c r="A126" s="987"/>
      <c r="B126" s="1366"/>
      <c r="C126" s="1642"/>
      <c r="D126" s="683" t="s">
        <v>121</v>
      </c>
      <c r="E126" s="546" t="str">
        <f>E122&amp;".3"</f>
        <v>7.3</v>
      </c>
      <c r="F126" s="540" t="s">
        <v>604</v>
      </c>
      <c r="G126" s="2331" t="s">
        <v>559</v>
      </c>
      <c r="H126" s="751"/>
      <c r="I126" s="751">
        <v>0.23</v>
      </c>
      <c r="J126" s="751"/>
      <c r="K126" s="751"/>
      <c r="L126" s="1525" t="s">
        <v>560</v>
      </c>
      <c r="M126" s="734"/>
      <c r="N126" s="1642"/>
      <c r="O126" s="1642"/>
      <c r="P126" s="1366"/>
      <c r="Q126" s="1366"/>
      <c r="R126" s="1366"/>
      <c r="S126" s="1366"/>
      <c r="T126" s="1642"/>
      <c r="U126" s="1366"/>
      <c r="V126" s="1366"/>
      <c r="W126" s="736"/>
      <c r="X126" s="1366"/>
      <c r="Y126" s="1366"/>
      <c r="Z126" s="1366"/>
      <c r="AA126" s="1366"/>
      <c r="AB126" s="1366"/>
      <c r="AC126" s="1632"/>
      <c r="AD126" s="1632"/>
      <c r="AE126" s="1632"/>
      <c r="AF126" s="1632"/>
      <c r="AG126" s="1632"/>
      <c r="AH126" s="1635">
        <v>0</v>
      </c>
    </row>
    <row s="1847" customFormat="1" customHeight="1" ht="18.75">
      <c r="A127" s="987"/>
      <c r="B127" s="1366"/>
      <c r="C127" s="1642"/>
      <c r="D127" s="683" t="s">
        <v>121</v>
      </c>
      <c r="E127" s="546" t="str">
        <f>E122&amp;".4"</f>
        <v>7.4</v>
      </c>
      <c r="F127" s="540" t="s">
        <v>605</v>
      </c>
      <c r="G127" s="2331" t="s">
        <v>559</v>
      </c>
      <c r="H127" s="751"/>
      <c r="I127" s="751"/>
      <c r="J127" s="751">
        <v>10.32</v>
      </c>
      <c r="K127" s="751"/>
      <c r="L127" s="1525" t="s">
        <v>560</v>
      </c>
      <c r="M127" s="734"/>
      <c r="N127" s="1642"/>
      <c r="O127" s="1642"/>
      <c r="P127" s="1366"/>
      <c r="Q127" s="1366"/>
      <c r="R127" s="1366"/>
      <c r="S127" s="1366"/>
      <c r="T127" s="1642"/>
      <c r="U127" s="1366"/>
      <c r="V127" s="1366"/>
      <c r="W127" s="736"/>
      <c r="X127" s="1366"/>
      <c r="Y127" s="1366"/>
      <c r="Z127" s="1366"/>
      <c r="AA127" s="1366"/>
      <c r="AB127" s="1366"/>
      <c r="AC127" s="1632"/>
      <c r="AD127" s="1632"/>
      <c r="AE127" s="1632"/>
      <c r="AF127" s="1632"/>
      <c r="AG127" s="1632"/>
      <c r="AH127" s="1635">
        <v>0</v>
      </c>
    </row>
    <row s="1847" customFormat="1" customHeight="1" ht="18.75">
      <c r="A128" s="987"/>
      <c r="B128" s="1366"/>
      <c r="C128" s="1642"/>
      <c r="D128" s="683" t="s">
        <v>121</v>
      </c>
      <c r="E128" s="546" t="str">
        <f>E122&amp;".5"</f>
        <v>7.5</v>
      </c>
      <c r="F128" s="540" t="s">
        <v>606</v>
      </c>
      <c r="G128" s="2331" t="s">
        <v>559</v>
      </c>
      <c r="H128" s="751"/>
      <c r="I128" s="751"/>
      <c r="J128" s="751">
        <v>2.15</v>
      </c>
      <c r="K128" s="751"/>
      <c r="L128" s="1525" t="s">
        <v>560</v>
      </c>
      <c r="M128" s="734"/>
      <c r="N128" s="1642"/>
      <c r="O128" s="1642"/>
      <c r="P128" s="1366"/>
      <c r="Q128" s="1366"/>
      <c r="R128" s="1366"/>
      <c r="S128" s="1366"/>
      <c r="T128" s="1642"/>
      <c r="U128" s="1366"/>
      <c r="V128" s="1366"/>
      <c r="W128" s="736"/>
      <c r="X128" s="1366"/>
      <c r="Y128" s="1366"/>
      <c r="Z128" s="1366"/>
      <c r="AA128" s="1366"/>
      <c r="AB128" s="1366"/>
      <c r="AC128" s="1632"/>
      <c r="AD128" s="1632"/>
      <c r="AE128" s="1632"/>
      <c r="AF128" s="1632"/>
      <c r="AG128" s="1632"/>
      <c r="AH128" s="1635">
        <v>0</v>
      </c>
    </row>
    <row s="1847" customFormat="1" customHeight="1" ht="18.75">
      <c r="A129" s="987"/>
      <c r="B129" s="1366"/>
      <c r="C129" s="1642"/>
      <c r="D129" s="683" t="s">
        <v>121</v>
      </c>
      <c r="E129" s="546" t="str">
        <f>E122&amp;".6"</f>
        <v>7.6</v>
      </c>
      <c r="F129" s="540" t="s">
        <v>607</v>
      </c>
      <c r="G129" s="2331" t="s">
        <v>559</v>
      </c>
      <c r="H129" s="751"/>
      <c r="I129" s="751"/>
      <c r="J129" s="751"/>
      <c r="K129" s="751">
        <v>2.15</v>
      </c>
      <c r="L129" s="1525" t="s">
        <v>560</v>
      </c>
      <c r="M129" s="734"/>
      <c r="N129" s="1642"/>
      <c r="O129" s="1642"/>
      <c r="P129" s="1366"/>
      <c r="Q129" s="1366"/>
      <c r="R129" s="1366"/>
      <c r="S129" s="1366"/>
      <c r="T129" s="1642"/>
      <c r="U129" s="1366"/>
      <c r="V129" s="1366"/>
      <c r="W129" s="736"/>
      <c r="X129" s="1366"/>
      <c r="Y129" s="1366"/>
      <c r="Z129" s="1366"/>
      <c r="AA129" s="1366"/>
      <c r="AB129" s="1366"/>
      <c r="AC129" s="1632"/>
      <c r="AD129" s="1632"/>
      <c r="AE129" s="1632"/>
      <c r="AF129" s="1632"/>
      <c r="AG129" s="1632"/>
      <c r="AH129" s="1635">
        <v>0</v>
      </c>
    </row>
    <row customHeight="1" ht="15">
      <c r="A130" s="2390"/>
      <c r="D130" s="1633"/>
      <c r="E130" s="971"/>
      <c r="F130" s="972" t="s">
        <v>608</v>
      </c>
      <c r="G130" s="572"/>
      <c r="H130" s="573"/>
      <c r="I130" s="573"/>
      <c r="J130" s="2662"/>
      <c r="K130" s="2663"/>
      <c r="L130" s="1004" t="s">
        <v>609</v>
      </c>
      <c r="M130" s="543"/>
      <c r="AH130" s="1631">
        <v>0</v>
      </c>
    </row>
    <row s="1366" customFormat="1" customHeight="1" ht="36.14582061767578">
      <c r="A131" s="2390"/>
      <c r="C131" s="1636"/>
      <c r="D131" s="1638"/>
      <c r="E131" s="546" t="str">
        <f>FHD_NUM_P_62</f>
        <v>8</v>
      </c>
      <c r="F131" s="1877" t="str">
        <f>FHD_P_62</f>
        <v>Тепловая нагрузка по договорам, заключенным в рамках осуществления регулируемых видов деятельности</v>
      </c>
      <c r="G131" s="1874" t="s">
        <v>559</v>
      </c>
      <c r="H131" s="557"/>
      <c r="I131" s="557">
        <v>7.819</v>
      </c>
      <c r="J131" s="557">
        <v>3.105</v>
      </c>
      <c r="K131" s="557">
        <v>0.572</v>
      </c>
      <c r="L131"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31" s="543"/>
      <c r="N131" s="1636"/>
      <c r="O131" s="1636"/>
      <c r="T131" s="1636"/>
      <c r="W131" s="544"/>
      <c r="AC131" s="1632"/>
      <c r="AD131" s="1632"/>
      <c r="AE131" s="1632"/>
      <c r="AF131" s="1632"/>
      <c r="AG131" s="1632"/>
      <c r="AH131" s="1160">
        <v>0</v>
      </c>
    </row>
    <row s="1366" customFormat="1" customHeight="1" ht="36.14582061767578">
      <c r="A132" s="2390"/>
      <c r="C132" s="1636"/>
      <c r="D132" s="1638"/>
      <c r="E132" s="546" t="str">
        <f>FHD_NUM_P_63</f>
        <v>9</v>
      </c>
      <c r="F132" s="1877" t="str">
        <f>FHD_P_63</f>
        <v>Объем вырабатываемой регулируемой организацией тепловой энергии в рамках осуществления регулируемых видов деятельности</v>
      </c>
      <c r="G132" s="1874" t="s">
        <v>599</v>
      </c>
      <c r="H132" s="577"/>
      <c r="I132" s="577">
        <v>63.237895</v>
      </c>
      <c r="J132" s="577">
        <v>21.159472</v>
      </c>
      <c r="K132" s="577">
        <v>3.944701</v>
      </c>
      <c r="L132"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32" s="543"/>
      <c r="N132" s="1636"/>
      <c r="O132" s="1636"/>
      <c r="T132" s="1636"/>
      <c r="W132" s="544"/>
      <c r="AC132" s="1632"/>
      <c r="AD132" s="1632"/>
      <c r="AE132" s="1632"/>
      <c r="AF132" s="1632"/>
      <c r="AG132" s="1632"/>
      <c r="AH132" s="1160">
        <v>0</v>
      </c>
    </row>
    <row s="1366" customFormat="1" customHeight="1" ht="32.812487284342446">
      <c r="A133" s="2390"/>
      <c r="C133" s="1636"/>
      <c r="D133" s="1638"/>
      <c r="E133" s="546" t="str">
        <f>FHD_NUM_P_64</f>
        <v>9.1</v>
      </c>
      <c r="F133" s="1877" t="str">
        <f>FHD_P_64</f>
        <v>Объем приобретаемой регулируемой организацией тепловой энергии в рамках осуществления регулируемых видов деятельности</v>
      </c>
      <c r="G133" s="1874" t="s">
        <v>599</v>
      </c>
      <c r="H133" s="1407"/>
      <c r="I133" s="751"/>
      <c r="J133" s="1407"/>
      <c r="K133" s="1407"/>
      <c r="L133" s="289" t="str">
        <f>FHD_NOTE_P_64</f>
        <v>Информация указывается только едиными теплоснабжающими организациями.</v>
      </c>
      <c r="M133" s="543"/>
      <c r="N133" s="1636"/>
      <c r="O133" s="1636"/>
      <c r="T133" s="1636"/>
      <c r="W133" s="544"/>
      <c r="AC133" s="1632"/>
      <c r="AD133" s="1632"/>
      <c r="AE133" s="1632"/>
      <c r="AF133" s="1632"/>
      <c r="AG133" s="1632"/>
      <c r="AH133" s="1160">
        <v>0</v>
      </c>
    </row>
    <row s="1366" customFormat="1" customHeight="1" ht="35.312487284342446">
      <c r="A134" s="2390"/>
      <c r="C134" s="1636"/>
      <c r="D134" s="1638"/>
      <c r="E134" s="546" t="str">
        <f>FHD_NUM_P_65</f>
        <v>10</v>
      </c>
      <c r="F134" s="187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34" s="1874" t="s">
        <v>599</v>
      </c>
      <c r="H134" s="577"/>
      <c r="I134" s="577">
        <f>I135+I138</f>
        <v>43.81552</v>
      </c>
      <c r="J134" s="577">
        <f>J135+J138</f>
        <v>17.5346</v>
      </c>
      <c r="K134" s="577">
        <f>K135+K138</f>
        <v>3.173968</v>
      </c>
      <c r="L134"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34" s="543"/>
      <c r="N134" s="1636"/>
      <c r="O134" s="1636"/>
      <c r="T134" s="1636"/>
      <c r="W134" s="544"/>
      <c r="AC134" s="1632"/>
      <c r="AD134" s="1632"/>
      <c r="AE134" s="1632"/>
      <c r="AF134" s="1632"/>
      <c r="AG134" s="1632"/>
      <c r="AH134" s="1160">
        <v>0</v>
      </c>
    </row>
    <row s="1366" customFormat="1" customHeight="1" ht="18.75">
      <c r="A135" s="2390"/>
      <c r="C135" s="1636"/>
      <c r="D135" s="1638"/>
      <c r="E135" s="546" t="str">
        <f>FHD_NUM_P_66</f>
        <v>10.1</v>
      </c>
      <c r="F135" s="1524" t="str">
        <f>FHD_P_66</f>
        <v>По приборам учёта </v>
      </c>
      <c r="G135" s="1874" t="s">
        <v>599</v>
      </c>
      <c r="H135" s="577"/>
      <c r="I135" s="577">
        <v>40.33188</v>
      </c>
      <c r="J135" s="577">
        <v>13.840679</v>
      </c>
      <c r="K135" s="577">
        <v>2.836262</v>
      </c>
      <c r="L135" s="289" t="str">
        <f>FHD_NOTE_P_66</f>
        <v/>
      </c>
      <c r="M135" s="543"/>
      <c r="N135" s="1636"/>
      <c r="O135" s="1636"/>
      <c r="T135" s="1636"/>
      <c r="W135" s="544"/>
      <c r="AC135" s="1632"/>
      <c r="AD135" s="1632"/>
      <c r="AE135" s="1632"/>
      <c r="AF135" s="1632"/>
      <c r="AG135" s="1632"/>
      <c r="AH135" s="1160">
        <v>0</v>
      </c>
    </row>
    <row s="1366" customFormat="1" customHeight="1" ht="44.47915395100912">
      <c r="A136" s="2390"/>
      <c r="C136" s="1636"/>
      <c r="D136" s="1638"/>
      <c r="E136" s="546" t="str">
        <f>FHD_NUM_P_67</f>
        <v>10.1.1</v>
      </c>
      <c r="F136"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36" s="1874" t="s">
        <v>599</v>
      </c>
      <c r="H136" s="577"/>
      <c r="I136" s="577">
        <f>I135</f>
        <v>40.33188</v>
      </c>
      <c r="J136" s="577">
        <f>J135</f>
        <v>13.840679</v>
      </c>
      <c r="K136" s="577">
        <f>K135</f>
        <v>2.836262</v>
      </c>
      <c r="L136" s="289" t="str">
        <f>FHD_NOTE_P_67</f>
        <v/>
      </c>
      <c r="M136" s="543"/>
      <c r="N136" s="1636"/>
      <c r="O136" s="1636"/>
      <c r="T136" s="1636"/>
      <c r="W136" s="544"/>
      <c r="AC136" s="1632"/>
      <c r="AD136" s="1632"/>
      <c r="AE136" s="1632"/>
      <c r="AF136" s="1632"/>
      <c r="AG136" s="1632"/>
      <c r="AH136" s="1160">
        <v>0</v>
      </c>
    </row>
    <row s="1366" customFormat="1" customHeight="1" ht="26.979153951009113">
      <c r="A137" s="2390"/>
      <c r="C137" s="1636"/>
      <c r="D137" s="1638"/>
      <c r="E137" s="546" t="str">
        <f>FHD_NUM_P_68</f>
        <v>10.2</v>
      </c>
      <c r="F137" s="1524" t="str">
        <f>FHD_P_68</f>
        <v>Расчётным путём</v>
      </c>
      <c r="G137" s="1874" t="s">
        <v>599</v>
      </c>
      <c r="H137" s="577"/>
      <c r="I137" s="577">
        <f>I138</f>
        <v>3.48364</v>
      </c>
      <c r="J137" s="577">
        <f>J138</f>
        <v>3.693921</v>
      </c>
      <c r="K137" s="577">
        <f>K138</f>
        <v>0.337706</v>
      </c>
      <c r="L137" s="289" t="str">
        <f>FHD_NOTE_P_68</f>
        <v/>
      </c>
      <c r="M137" s="543"/>
      <c r="N137" s="1636"/>
      <c r="O137" s="1636"/>
      <c r="T137" s="1636"/>
      <c r="W137" s="544"/>
      <c r="AC137" s="1632"/>
      <c r="AD137" s="1632"/>
      <c r="AE137" s="1632"/>
      <c r="AF137" s="1632"/>
      <c r="AG137" s="1632"/>
      <c r="AH137" s="1160">
        <v>0</v>
      </c>
    </row>
    <row s="1366" customFormat="1" customHeight="1" ht="32.812487284342446">
      <c r="A138" s="2390"/>
      <c r="C138" s="1636"/>
      <c r="D138" s="1638"/>
      <c r="E138" s="546" t="str">
        <f>FHD_NUM_P_69</f>
        <v>10.3</v>
      </c>
      <c r="F138" s="1524" t="str">
        <f>FHD_P_69</f>
        <v>По нормативам потребления коммунальных услуг и нормативам потребления коммунальных ресурсов</v>
      </c>
      <c r="G138" s="1874" t="s">
        <v>599</v>
      </c>
      <c r="H138" s="577"/>
      <c r="I138" s="577">
        <v>3.48364</v>
      </c>
      <c r="J138" s="577">
        <v>3.693921</v>
      </c>
      <c r="K138" s="577">
        <v>0.337706</v>
      </c>
      <c r="L138" s="289" t="str">
        <f>FHD_NOTE_P_69</f>
        <v/>
      </c>
      <c r="M138" s="543"/>
      <c r="N138" s="1636"/>
      <c r="O138" s="1636"/>
      <c r="T138" s="1636"/>
      <c r="W138" s="544"/>
      <c r="AC138" s="1632"/>
      <c r="AD138" s="1632"/>
      <c r="AE138" s="1632"/>
      <c r="AF138" s="1632"/>
      <c r="AG138" s="1632"/>
      <c r="AH138" s="1160">
        <v>0</v>
      </c>
    </row>
    <row s="1366" customFormat="1" customHeight="1" ht="35.312487284342446">
      <c r="A139" s="2390"/>
      <c r="C139" s="1636"/>
      <c r="D139" s="1638"/>
      <c r="E139" s="546" t="str">
        <f>FHD_NUM_P_70</f>
        <v>11</v>
      </c>
      <c r="F139" s="1877" t="str">
        <f>FHD_P_70</f>
        <v>Нормативы технологических потерь при передаче тепловой энергии, теплоносителя по тепловым сетям, утвержденные уполномоченным органом</v>
      </c>
      <c r="G139" s="1874" t="s">
        <v>610</v>
      </c>
      <c r="H139" s="557"/>
      <c r="I139" s="557">
        <v>19.19328</v>
      </c>
      <c r="J139" s="557">
        <v>2.74624</v>
      </c>
      <c r="K139" s="557">
        <v>0.46718</v>
      </c>
      <c r="L139" s="289" t="str">
        <f>FHD_NOTE_P_70</f>
        <v/>
      </c>
      <c r="M139" s="543"/>
      <c r="N139" s="1636"/>
      <c r="O139" s="1636"/>
      <c r="T139" s="1636"/>
      <c r="W139" s="544"/>
      <c r="AC139" s="1632"/>
      <c r="AD139" s="1632"/>
      <c r="AE139" s="1632"/>
      <c r="AF139" s="1632"/>
      <c r="AG139" s="1632"/>
      <c r="AH139" s="1160">
        <v>0</v>
      </c>
    </row>
    <row s="1366" customFormat="1" customHeight="1" ht="22.5">
      <c r="A140" s="2390"/>
      <c r="C140" s="1636"/>
      <c r="D140" s="1638"/>
      <c r="E140" s="546" t="str">
        <f>FHD_NUM_P_71</f>
        <v>12</v>
      </c>
      <c r="F140" s="1877" t="str">
        <f>FHD_P_71</f>
        <v>Фактический объем потерь при передаче тепловой энергии</v>
      </c>
      <c r="G140" s="1874" t="s">
        <v>610</v>
      </c>
      <c r="H140" s="557"/>
      <c r="I140" s="557">
        <v>16.836977</v>
      </c>
      <c r="J140" s="557">
        <v>2.736234</v>
      </c>
      <c r="K140" s="557">
        <v>0.47412</v>
      </c>
      <c r="L140" s="289" t="str">
        <f>FHD_NOTE_P_71</f>
        <v/>
      </c>
      <c r="M140" s="543"/>
      <c r="N140" s="1636"/>
      <c r="O140" s="1636"/>
      <c r="T140" s="1636"/>
      <c r="W140" s="544"/>
      <c r="AC140" s="1632"/>
      <c r="AD140" s="1632"/>
      <c r="AE140" s="1632"/>
      <c r="AF140" s="1632"/>
      <c r="AG140" s="1632"/>
      <c r="AH140" s="1160">
        <v>0</v>
      </c>
    </row>
    <row customHeight="1" ht="23.64582061767578">
      <c r="D141" s="1638"/>
      <c r="E141" s="546" t="str">
        <f>FHD_NUM_P_72</f>
        <v>13</v>
      </c>
      <c r="F141" s="1877" t="str">
        <f>FHD_P_72</f>
        <v>Среднесписочная численность основного производственного персонала</v>
      </c>
      <c r="G141" s="1873" t="s">
        <v>611</v>
      </c>
      <c r="H141" s="577"/>
      <c r="I141" s="577">
        <v>100.44</v>
      </c>
      <c r="J141" s="577">
        <v>21.8</v>
      </c>
      <c r="K141" s="577">
        <v>11.236</v>
      </c>
      <c r="L141" s="289" t="str">
        <f>FHD_NOTE_P_72</f>
        <v/>
      </c>
      <c r="M141" s="543"/>
      <c r="AH141" s="1631">
        <v>19</v>
      </c>
    </row>
    <row customHeight="1" ht="25.31248728434245">
      <c r="A142" s="989" t="s">
        <v>612</v>
      </c>
      <c r="D142" s="1638"/>
      <c r="E142" s="546" t="str">
        <f>FHD_NUM_P_73</f>
        <v>14</v>
      </c>
      <c r="F142" s="1877" t="str">
        <f>FHD_P_73</f>
        <v>Среднесписочная численность административно-управленческого персонала</v>
      </c>
      <c r="G142" s="970" t="s">
        <v>611</v>
      </c>
      <c r="H142" s="968"/>
      <c r="I142" s="968">
        <v>35.6</v>
      </c>
      <c r="J142" s="968">
        <v>2.1</v>
      </c>
      <c r="K142" s="968">
        <v>4.006</v>
      </c>
      <c r="L142" s="289" t="str">
        <f>FHD_NOTE_P_73</f>
        <v/>
      </c>
      <c r="M142" s="543"/>
      <c r="AH142" s="1631">
        <v>0</v>
      </c>
    </row>
    <row customHeight="1" ht="33.75" hidden="1">
      <c r="A143" s="989" t="s">
        <v>613</v>
      </c>
      <c r="D143" s="1638"/>
      <c r="E143" s="546" t="str">
        <f>FHD_NUM_P_74</f>
        <v/>
      </c>
      <c r="F143" s="1877" t="str">
        <f>FHD_P_74</f>
        <v/>
      </c>
      <c r="G143" s="1873" t="s">
        <v>614</v>
      </c>
      <c r="H143" s="577"/>
      <c r="I143" s="577"/>
      <c r="J143" s="577"/>
      <c r="K143" s="577"/>
      <c r="L143" s="289" t="str">
        <f>FHD_NOTE_P_74</f>
        <v/>
      </c>
      <c r="M143" s="543"/>
      <c r="AH143" s="1631">
        <v>0</v>
      </c>
    </row>
    <row s="1635" customFormat="1" customHeight="1" ht="18.75" hidden="1">
      <c r="A144" s="2392" t="s">
        <v>615</v>
      </c>
      <c r="B144" s="910"/>
      <c r="C144" s="735"/>
      <c r="D144" s="733"/>
      <c r="E144" s="546" t="str">
        <f>FHD_NUM_P_75</f>
        <v/>
      </c>
      <c r="F144" s="1877" t="str">
        <f>FHD_P_75</f>
        <v/>
      </c>
      <c r="G144" s="1873" t="s">
        <v>561</v>
      </c>
      <c r="H144" s="557"/>
      <c r="I144" s="557"/>
      <c r="J144" s="557"/>
      <c r="K144" s="557"/>
      <c r="L144" s="289" t="str">
        <f>FHD_NOTE_P_75</f>
        <v/>
      </c>
      <c r="M144" s="734"/>
      <c r="N144" s="735"/>
      <c r="O144" s="735"/>
      <c r="P144" s="910"/>
      <c r="Q144" s="910"/>
      <c r="R144" s="910"/>
      <c r="S144" s="910"/>
      <c r="T144" s="735"/>
      <c r="U144" s="910"/>
      <c r="V144" s="910"/>
      <c r="W144" s="736"/>
      <c r="X144" s="910"/>
      <c r="Y144" s="910"/>
      <c r="Z144" s="910"/>
      <c r="AA144" s="910"/>
      <c r="AB144" s="910"/>
      <c r="AC144" s="737"/>
      <c r="AD144" s="737"/>
      <c r="AE144" s="737"/>
      <c r="AF144" s="737"/>
      <c r="AG144" s="737"/>
      <c r="AH144" s="739">
        <v>0</v>
      </c>
    </row>
    <row s="1635" customFormat="1" customHeight="1" ht="18.75" hidden="1">
      <c r="A145" s="2392"/>
      <c r="B145" s="910"/>
      <c r="C145" s="735"/>
      <c r="D145" s="733"/>
      <c r="E145" s="546" t="str">
        <f>FHD_NUM_P_76</f>
        <v/>
      </c>
      <c r="F145" s="1877" t="str">
        <f>FHD_P_76</f>
        <v/>
      </c>
      <c r="G145" s="1873" t="s">
        <v>561</v>
      </c>
      <c r="H145" s="557"/>
      <c r="I145" s="557"/>
      <c r="J145" s="557"/>
      <c r="K145" s="557"/>
      <c r="L145" s="289" t="str">
        <f>FHD_NOTE_P_76</f>
        <v/>
      </c>
      <c r="M145" s="734"/>
      <c r="N145" s="735"/>
      <c r="O145" s="735"/>
      <c r="P145" s="910"/>
      <c r="Q145" s="910"/>
      <c r="R145" s="910"/>
      <c r="S145" s="910"/>
      <c r="T145" s="735"/>
      <c r="U145" s="910"/>
      <c r="V145" s="910"/>
      <c r="W145" s="736"/>
      <c r="X145" s="910"/>
      <c r="Y145" s="910"/>
      <c r="Z145" s="910"/>
      <c r="AA145" s="910"/>
      <c r="AB145" s="910"/>
      <c r="AC145" s="737"/>
      <c r="AD145" s="737"/>
      <c r="AE145" s="737"/>
      <c r="AF145" s="737"/>
      <c r="AG145" s="737"/>
      <c r="AH145" s="739">
        <v>0</v>
      </c>
    </row>
    <row s="1635" customFormat="1" customHeight="1" ht="18.75" hidden="1">
      <c r="A146" s="2392"/>
      <c r="B146" s="910"/>
      <c r="C146" s="735"/>
      <c r="D146" s="733"/>
      <c r="E146" s="546" t="str">
        <f>FHD_NUM_P_77</f>
        <v/>
      </c>
      <c r="F146" s="1877" t="str">
        <f>FHD_P_77</f>
        <v/>
      </c>
      <c r="G146" s="1873" t="s">
        <v>561</v>
      </c>
      <c r="H146" s="557"/>
      <c r="I146" s="557"/>
      <c r="J146" s="557"/>
      <c r="K146" s="557"/>
      <c r="L146" s="289" t="str">
        <f>FHD_NOTE_P_77</f>
        <v/>
      </c>
      <c r="M146" s="734"/>
      <c r="N146" s="735"/>
      <c r="O146" s="735"/>
      <c r="P146" s="910"/>
      <c r="Q146" s="910"/>
      <c r="R146" s="910"/>
      <c r="S146" s="910"/>
      <c r="T146" s="735"/>
      <c r="U146" s="910"/>
      <c r="V146" s="910"/>
      <c r="W146" s="736"/>
      <c r="X146" s="910"/>
      <c r="Y146" s="910"/>
      <c r="Z146" s="910"/>
      <c r="AA146" s="910"/>
      <c r="AB146" s="910"/>
      <c r="AC146" s="737"/>
      <c r="AD146" s="737"/>
      <c r="AE146" s="737"/>
      <c r="AF146" s="737"/>
      <c r="AG146" s="737"/>
      <c r="AH146" s="739">
        <v>0</v>
      </c>
    </row>
    <row s="1642" customFormat="1" customHeight="1" ht="0.75" hidden="1">
      <c r="A147" s="2392"/>
      <c r="D147" s="548"/>
      <c r="E147" s="1013" t="str">
        <f>E146&amp;".0"</f>
        <v>.0</v>
      </c>
      <c r="F147" s="997"/>
      <c r="G147" s="1651"/>
      <c r="H147" s="992"/>
      <c r="I147" s="992"/>
      <c r="J147" s="992"/>
      <c r="K147" s="992"/>
      <c r="L147" s="996"/>
      <c r="AH147" s="1636">
        <v>0</v>
      </c>
    </row>
    <row s="1635" customFormat="1" customHeight="1" ht="15" hidden="1">
      <c r="A148" s="2392"/>
      <c r="B148" s="910"/>
      <c r="C148" s="735"/>
      <c r="D148" s="746"/>
      <c r="E148" s="973"/>
      <c r="F148" s="974" t="s">
        <v>616</v>
      </c>
      <c r="G148" s="747"/>
      <c r="H148" s="748"/>
      <c r="I148" s="748"/>
      <c r="J148" s="2664"/>
      <c r="K148" s="2665"/>
      <c r="L148" s="1003" t="s">
        <v>617</v>
      </c>
      <c r="M148" s="734"/>
      <c r="N148" s="735"/>
      <c r="O148" s="735"/>
      <c r="P148" s="910"/>
      <c r="Q148" s="910"/>
      <c r="R148" s="910"/>
      <c r="S148" s="910"/>
      <c r="T148" s="735"/>
      <c r="U148" s="910"/>
      <c r="V148" s="910"/>
      <c r="W148" s="736"/>
      <c r="X148" s="910"/>
      <c r="Y148" s="910"/>
      <c r="Z148" s="910"/>
      <c r="AA148" s="910"/>
      <c r="AB148" s="910"/>
      <c r="AC148" s="737"/>
      <c r="AD148" s="737"/>
      <c r="AE148" s="737"/>
      <c r="AF148" s="737"/>
      <c r="AG148" s="737"/>
      <c r="AH148" s="739">
        <v>0</v>
      </c>
    </row>
    <row customHeight="1" ht="67.81248728434244">
      <c r="A149" s="2390" t="s">
        <v>618</v>
      </c>
      <c r="D149" s="1638"/>
      <c r="E149" s="546" t="str">
        <f>FHD_NUM_P_78</f>
        <v>15</v>
      </c>
      <c r="F149" s="187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9" s="1874" t="s">
        <v>563</v>
      </c>
      <c r="H149" s="577"/>
      <c r="I149" s="577">
        <v>174.9</v>
      </c>
      <c r="J149" s="577">
        <v>197.3</v>
      </c>
      <c r="K149" s="577">
        <v>198.64</v>
      </c>
      <c r="L149" s="289" t="str">
        <f>FHD_NOTE_P_78</f>
        <v/>
      </c>
      <c r="M149" s="543"/>
      <c r="AH149" s="1631">
        <v>0</v>
      </c>
    </row>
    <row s="1642" customFormat="1" customHeight="1" ht="13.645820617675781">
      <c r="A150" s="2390"/>
      <c r="D150" s="548"/>
      <c r="E150" s="1013" t="str">
        <f>E149&amp;".0"</f>
        <v>15.0</v>
      </c>
      <c r="F150" s="997"/>
      <c r="G150" s="1651"/>
      <c r="H150" s="992"/>
      <c r="I150" s="992"/>
      <c r="J150" s="992"/>
      <c r="K150" s="992"/>
      <c r="L150" s="996"/>
      <c r="AH150" s="1636">
        <v>0</v>
      </c>
    </row>
    <row s="1847" customFormat="1" customHeight="1" ht="22.5">
      <c r="A151" s="987"/>
      <c r="B151" s="1366"/>
      <c r="C151" s="1642"/>
      <c r="D151" s="683" t="s">
        <v>121</v>
      </c>
      <c r="E151" s="546" t="str">
        <f>E149&amp;".1"</f>
        <v>15.1</v>
      </c>
      <c r="F151" s="540" t="s">
        <v>602</v>
      </c>
      <c r="G151" s="2331" t="s">
        <v>563</v>
      </c>
      <c r="H151" s="545"/>
      <c r="I151" s="545">
        <v>167.96</v>
      </c>
      <c r="J151" s="545"/>
      <c r="K151" s="545"/>
      <c r="L151" s="1525" t="s">
        <v>564</v>
      </c>
      <c r="M151" s="734"/>
      <c r="N151" s="1642"/>
      <c r="O151" s="1642"/>
      <c r="P151" s="1366"/>
      <c r="Q151" s="1366"/>
      <c r="R151" s="1366"/>
      <c r="S151" s="1366"/>
      <c r="T151" s="1642"/>
      <c r="U151" s="1366"/>
      <c r="V151" s="1366"/>
      <c r="W151" s="736"/>
      <c r="X151" s="1366"/>
      <c r="Y151" s="1366"/>
      <c r="Z151" s="1366"/>
      <c r="AA151" s="1366"/>
      <c r="AB151" s="1366"/>
      <c r="AC151" s="1632"/>
      <c r="AD151" s="1632"/>
      <c r="AE151" s="1632"/>
      <c r="AF151" s="1632"/>
      <c r="AG151" s="1632"/>
      <c r="AH151" s="1635">
        <v>0</v>
      </c>
    </row>
    <row s="1847" customFormat="1" customHeight="1" ht="22.5">
      <c r="A152" s="987"/>
      <c r="B152" s="1366"/>
      <c r="C152" s="1642"/>
      <c r="D152" s="683" t="s">
        <v>121</v>
      </c>
      <c r="E152" s="546" t="str">
        <f>E149&amp;".2"</f>
        <v>15.2</v>
      </c>
      <c r="F152" s="540" t="s">
        <v>603</v>
      </c>
      <c r="G152" s="2331" t="s">
        <v>563</v>
      </c>
      <c r="H152" s="545"/>
      <c r="I152" s="545">
        <v>199.78</v>
      </c>
      <c r="J152" s="545"/>
      <c r="K152" s="545"/>
      <c r="L152" s="1525" t="s">
        <v>564</v>
      </c>
      <c r="M152" s="734"/>
      <c r="N152" s="1642"/>
      <c r="O152" s="1642"/>
      <c r="P152" s="1366"/>
      <c r="Q152" s="1366"/>
      <c r="R152" s="1366"/>
      <c r="S152" s="1366"/>
      <c r="T152" s="1642"/>
      <c r="U152" s="1366"/>
      <c r="V152" s="1366"/>
      <c r="W152" s="736"/>
      <c r="X152" s="1366"/>
      <c r="Y152" s="1366"/>
      <c r="Z152" s="1366"/>
      <c r="AA152" s="1366"/>
      <c r="AB152" s="1366"/>
      <c r="AC152" s="1632"/>
      <c r="AD152" s="1632"/>
      <c r="AE152" s="1632"/>
      <c r="AF152" s="1632"/>
      <c r="AG152" s="1632"/>
      <c r="AH152" s="1635">
        <v>0</v>
      </c>
    </row>
    <row s="1847" customFormat="1" customHeight="1" ht="22.5">
      <c r="A153" s="987"/>
      <c r="B153" s="1366"/>
      <c r="C153" s="1642"/>
      <c r="D153" s="683" t="s">
        <v>121</v>
      </c>
      <c r="E153" s="546" t="str">
        <f>E149&amp;".3"</f>
        <v>15.3</v>
      </c>
      <c r="F153" s="540" t="s">
        <v>619</v>
      </c>
      <c r="G153" s="2331" t="s">
        <v>563</v>
      </c>
      <c r="H153" s="545"/>
      <c r="I153" s="545">
        <v>198.78</v>
      </c>
      <c r="J153" s="545"/>
      <c r="K153" s="545"/>
      <c r="L153" s="1525" t="s">
        <v>564</v>
      </c>
      <c r="M153" s="734"/>
      <c r="N153" s="1642"/>
      <c r="O153" s="1642"/>
      <c r="P153" s="1366"/>
      <c r="Q153" s="1366"/>
      <c r="R153" s="1366"/>
      <c r="S153" s="1366"/>
      <c r="T153" s="1642"/>
      <c r="U153" s="1366"/>
      <c r="V153" s="1366"/>
      <c r="W153" s="736"/>
      <c r="X153" s="1366"/>
      <c r="Y153" s="1366"/>
      <c r="Z153" s="1366"/>
      <c r="AA153" s="1366"/>
      <c r="AB153" s="1366"/>
      <c r="AC153" s="1632"/>
      <c r="AD153" s="1632"/>
      <c r="AE153" s="1632"/>
      <c r="AF153" s="1632"/>
      <c r="AG153" s="1632"/>
      <c r="AH153" s="1635">
        <v>0</v>
      </c>
    </row>
    <row s="1847" customFormat="1" customHeight="1" ht="22.5">
      <c r="A154" s="987"/>
      <c r="B154" s="1366"/>
      <c r="C154" s="1642"/>
      <c r="D154" s="683" t="s">
        <v>121</v>
      </c>
      <c r="E154" s="546" t="str">
        <f>E149&amp;".4"</f>
        <v>15.4</v>
      </c>
      <c r="F154" s="540" t="s">
        <v>605</v>
      </c>
      <c r="G154" s="2331" t="s">
        <v>563</v>
      </c>
      <c r="H154" s="545"/>
      <c r="I154" s="545"/>
      <c r="J154" s="545">
        <v>197.3</v>
      </c>
      <c r="K154" s="545"/>
      <c r="L154" s="1525" t="s">
        <v>564</v>
      </c>
      <c r="M154" s="734"/>
      <c r="N154" s="1642"/>
      <c r="O154" s="1642"/>
      <c r="P154" s="1366"/>
      <c r="Q154" s="1366"/>
      <c r="R154" s="1366"/>
      <c r="S154" s="1366"/>
      <c r="T154" s="1642"/>
      <c r="U154" s="1366"/>
      <c r="V154" s="1366"/>
      <c r="W154" s="736"/>
      <c r="X154" s="1366"/>
      <c r="Y154" s="1366"/>
      <c r="Z154" s="1366"/>
      <c r="AA154" s="1366"/>
      <c r="AB154" s="1366"/>
      <c r="AC154" s="1632"/>
      <c r="AD154" s="1632"/>
      <c r="AE154" s="1632"/>
      <c r="AF154" s="1632"/>
      <c r="AG154" s="1632"/>
      <c r="AH154" s="1635">
        <v>0</v>
      </c>
    </row>
    <row s="1847" customFormat="1" customHeight="1" ht="22.5">
      <c r="A155" s="987"/>
      <c r="B155" s="1366"/>
      <c r="C155" s="1642"/>
      <c r="D155" s="683" t="s">
        <v>121</v>
      </c>
      <c r="E155" s="546" t="str">
        <f>E149&amp;".5"</f>
        <v>15.5</v>
      </c>
      <c r="F155" s="540" t="s">
        <v>606</v>
      </c>
      <c r="G155" s="2331" t="s">
        <v>563</v>
      </c>
      <c r="H155" s="545"/>
      <c r="I155" s="545"/>
      <c r="J155" s="545">
        <v>197.3</v>
      </c>
      <c r="K155" s="545"/>
      <c r="L155" s="1525" t="s">
        <v>564</v>
      </c>
      <c r="M155" s="734"/>
      <c r="N155" s="1642"/>
      <c r="O155" s="1642"/>
      <c r="P155" s="1366"/>
      <c r="Q155" s="1366"/>
      <c r="R155" s="1366"/>
      <c r="S155" s="1366"/>
      <c r="T155" s="1642"/>
      <c r="U155" s="1366"/>
      <c r="V155" s="1366"/>
      <c r="W155" s="736"/>
      <c r="X155" s="1366"/>
      <c r="Y155" s="1366"/>
      <c r="Z155" s="1366"/>
      <c r="AA155" s="1366"/>
      <c r="AB155" s="1366"/>
      <c r="AC155" s="1632"/>
      <c r="AD155" s="1632"/>
      <c r="AE155" s="1632"/>
      <c r="AF155" s="1632"/>
      <c r="AG155" s="1632"/>
      <c r="AH155" s="1635">
        <v>0</v>
      </c>
    </row>
    <row s="1847" customFormat="1" customHeight="1" ht="22.5">
      <c r="A156" s="987"/>
      <c r="B156" s="1366"/>
      <c r="C156" s="1642"/>
      <c r="D156" s="683" t="s">
        <v>121</v>
      </c>
      <c r="E156" s="546" t="str">
        <f>E149&amp;".6"</f>
        <v>15.6</v>
      </c>
      <c r="F156" s="540" t="s">
        <v>607</v>
      </c>
      <c r="G156" s="2331" t="s">
        <v>563</v>
      </c>
      <c r="H156" s="545"/>
      <c r="I156" s="545"/>
      <c r="J156" s="545"/>
      <c r="K156" s="545">
        <v>198.64</v>
      </c>
      <c r="L156" s="1525" t="s">
        <v>564</v>
      </c>
      <c r="M156" s="734"/>
      <c r="N156" s="1642"/>
      <c r="O156" s="1642"/>
      <c r="P156" s="1366"/>
      <c r="Q156" s="1366"/>
      <c r="R156" s="1366"/>
      <c r="S156" s="1366"/>
      <c r="T156" s="1642"/>
      <c r="U156" s="1366"/>
      <c r="V156" s="1366"/>
      <c r="W156" s="736"/>
      <c r="X156" s="1366"/>
      <c r="Y156" s="1366"/>
      <c r="Z156" s="1366"/>
      <c r="AA156" s="1366"/>
      <c r="AB156" s="1366"/>
      <c r="AC156" s="1632"/>
      <c r="AD156" s="1632"/>
      <c r="AE156" s="1632"/>
      <c r="AF156" s="1632"/>
      <c r="AG156" s="1632"/>
      <c r="AH156" s="1635">
        <v>0</v>
      </c>
    </row>
    <row customHeight="1" ht="15">
      <c r="A157" s="2390"/>
      <c r="D157" s="1633"/>
      <c r="E157" s="570"/>
      <c r="F157" s="1168" t="s">
        <v>608</v>
      </c>
      <c r="G157" s="572"/>
      <c r="H157" s="573"/>
      <c r="I157" s="573"/>
      <c r="J157" s="2666"/>
      <c r="K157" s="2667"/>
      <c r="L157" s="1004" t="s">
        <v>620</v>
      </c>
      <c r="M157" s="543"/>
      <c r="AH157" s="1631">
        <v>0</v>
      </c>
    </row>
    <row customHeight="1" ht="76.14582061767578">
      <c r="A158" s="2390"/>
      <c r="D158" s="1638"/>
      <c r="E158" s="546" t="str">
        <f>FHD_NUM_P_79</f>
        <v>16</v>
      </c>
      <c r="F158" s="187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58" s="1875" t="s">
        <v>565</v>
      </c>
      <c r="H158" s="577"/>
      <c r="I158" s="577">
        <v>181.756</v>
      </c>
      <c r="J158" s="577">
        <v>199.43</v>
      </c>
      <c r="K158" s="577">
        <v>233.56</v>
      </c>
      <c r="L158"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58" s="543"/>
      <c r="AH158" s="1631">
        <v>0</v>
      </c>
    </row>
    <row s="1642" customFormat="1" customHeight="1" ht="11.145820617675781">
      <c r="A159" s="2390"/>
      <c r="D159" s="548"/>
      <c r="E159" s="1013" t="str">
        <f>E158&amp;".0"</f>
        <v>16.0</v>
      </c>
      <c r="F159" s="998"/>
      <c r="G159" s="1651"/>
      <c r="H159" s="992"/>
      <c r="I159" s="992"/>
      <c r="J159" s="992"/>
      <c r="K159" s="992"/>
      <c r="L159" s="996"/>
      <c r="AH159" s="1636">
        <v>0</v>
      </c>
    </row>
    <row s="1847" customFormat="1" customHeight="1" ht="22.5">
      <c r="A160" s="987"/>
      <c r="B160" s="1366"/>
      <c r="C160" s="1642"/>
      <c r="D160" s="683" t="s">
        <v>121</v>
      </c>
      <c r="E160" s="546" t="str">
        <f>E158&amp;".1"</f>
        <v>16.1</v>
      </c>
      <c r="F160" s="540" t="s">
        <v>602</v>
      </c>
      <c r="G160" s="2331" t="s">
        <v>565</v>
      </c>
      <c r="H160" s="545"/>
      <c r="I160" s="545">
        <v>172.95</v>
      </c>
      <c r="J160" s="545"/>
      <c r="K160" s="545"/>
      <c r="L160" s="1525" t="s">
        <v>566</v>
      </c>
      <c r="M160" s="734"/>
      <c r="N160" s="1642"/>
      <c r="O160" s="1642"/>
      <c r="P160" s="1366"/>
      <c r="Q160" s="1366"/>
      <c r="R160" s="1366"/>
      <c r="S160" s="1366"/>
      <c r="T160" s="1642"/>
      <c r="U160" s="1366"/>
      <c r="V160" s="1366"/>
      <c r="W160" s="736"/>
      <c r="X160" s="1366"/>
      <c r="Y160" s="1366"/>
      <c r="Z160" s="1366"/>
      <c r="AA160" s="1366"/>
      <c r="AB160" s="1366"/>
      <c r="AC160" s="1632"/>
      <c r="AD160" s="1632"/>
      <c r="AE160" s="1632"/>
      <c r="AF160" s="1632"/>
      <c r="AG160" s="1632"/>
      <c r="AH160" s="1635">
        <v>0</v>
      </c>
    </row>
    <row s="1847" customFormat="1" customHeight="1" ht="22.5">
      <c r="A161" s="987"/>
      <c r="B161" s="1366"/>
      <c r="C161" s="1642"/>
      <c r="D161" s="683" t="s">
        <v>121</v>
      </c>
      <c r="E161" s="546" t="str">
        <f>E158&amp;".2"</f>
        <v>16.2</v>
      </c>
      <c r="F161" s="540" t="s">
        <v>603</v>
      </c>
      <c r="G161" s="2331" t="s">
        <v>565</v>
      </c>
      <c r="H161" s="545"/>
      <c r="I161" s="545">
        <v>222.9</v>
      </c>
      <c r="J161" s="545"/>
      <c r="K161" s="545"/>
      <c r="L161" s="1525" t="s">
        <v>566</v>
      </c>
      <c r="M161" s="734"/>
      <c r="N161" s="1642"/>
      <c r="O161" s="1642"/>
      <c r="P161" s="1366"/>
      <c r="Q161" s="1366"/>
      <c r="R161" s="1366"/>
      <c r="S161" s="1366"/>
      <c r="T161" s="1642"/>
      <c r="U161" s="1366"/>
      <c r="V161" s="1366"/>
      <c r="W161" s="736"/>
      <c r="X161" s="1366"/>
      <c r="Y161" s="1366"/>
      <c r="Z161" s="1366"/>
      <c r="AA161" s="1366"/>
      <c r="AB161" s="1366"/>
      <c r="AC161" s="1632"/>
      <c r="AD161" s="1632"/>
      <c r="AE161" s="1632"/>
      <c r="AF161" s="1632"/>
      <c r="AG161" s="1632"/>
      <c r="AH161" s="1635">
        <v>0</v>
      </c>
    </row>
    <row s="1847" customFormat="1" customHeight="1" ht="22.5">
      <c r="A162" s="987"/>
      <c r="B162" s="1366"/>
      <c r="C162" s="1642"/>
      <c r="D162" s="683" t="s">
        <v>121</v>
      </c>
      <c r="E162" s="546" t="str">
        <f>E158&amp;".3"</f>
        <v>16.3</v>
      </c>
      <c r="F162" s="540" t="s">
        <v>621</v>
      </c>
      <c r="G162" s="2331" t="s">
        <v>565</v>
      </c>
      <c r="H162" s="545"/>
      <c r="I162" s="545">
        <v>198.01</v>
      </c>
      <c r="J162" s="545"/>
      <c r="K162" s="545"/>
      <c r="L162" s="1525" t="s">
        <v>566</v>
      </c>
      <c r="M162" s="734"/>
      <c r="N162" s="1642"/>
      <c r="O162" s="1642"/>
      <c r="P162" s="1366"/>
      <c r="Q162" s="1366"/>
      <c r="R162" s="1366"/>
      <c r="S162" s="1366"/>
      <c r="T162" s="1642"/>
      <c r="U162" s="1366"/>
      <c r="V162" s="1366"/>
      <c r="W162" s="736"/>
      <c r="X162" s="1366"/>
      <c r="Y162" s="1366"/>
      <c r="Z162" s="1366"/>
      <c r="AA162" s="1366"/>
      <c r="AB162" s="1366"/>
      <c r="AC162" s="1632"/>
      <c r="AD162" s="1632"/>
      <c r="AE162" s="1632"/>
      <c r="AF162" s="1632"/>
      <c r="AG162" s="1632"/>
      <c r="AH162" s="1635">
        <v>0</v>
      </c>
    </row>
    <row s="1847" customFormat="1" customHeight="1" ht="22.5">
      <c r="A163" s="987"/>
      <c r="B163" s="1366"/>
      <c r="C163" s="1642"/>
      <c r="D163" s="683" t="s">
        <v>121</v>
      </c>
      <c r="E163" s="546" t="str">
        <f>E158&amp;".4"</f>
        <v>16.4</v>
      </c>
      <c r="F163" s="540" t="s">
        <v>605</v>
      </c>
      <c r="G163" s="2331" t="s">
        <v>565</v>
      </c>
      <c r="H163" s="545"/>
      <c r="I163" s="545"/>
      <c r="J163" s="545">
        <v>201.14</v>
      </c>
      <c r="K163" s="545"/>
      <c r="L163" s="1525" t="s">
        <v>566</v>
      </c>
      <c r="M163" s="734"/>
      <c r="N163" s="1642"/>
      <c r="O163" s="1642"/>
      <c r="P163" s="1366"/>
      <c r="Q163" s="1366"/>
      <c r="R163" s="1366"/>
      <c r="S163" s="1366"/>
      <c r="T163" s="1642"/>
      <c r="U163" s="1366"/>
      <c r="V163" s="1366"/>
      <c r="W163" s="736"/>
      <c r="X163" s="1366"/>
      <c r="Y163" s="1366"/>
      <c r="Z163" s="1366"/>
      <c r="AA163" s="1366"/>
      <c r="AB163" s="1366"/>
      <c r="AC163" s="1632"/>
      <c r="AD163" s="1632"/>
      <c r="AE163" s="1632"/>
      <c r="AF163" s="1632"/>
      <c r="AG163" s="1632"/>
      <c r="AH163" s="1635">
        <v>0</v>
      </c>
    </row>
    <row s="1847" customFormat="1" customHeight="1" ht="22.5">
      <c r="A164" s="987"/>
      <c r="B164" s="1366"/>
      <c r="C164" s="1642"/>
      <c r="D164" s="683" t="s">
        <v>121</v>
      </c>
      <c r="E164" s="546" t="str">
        <f>E158&amp;".5"</f>
        <v>16.5</v>
      </c>
      <c r="F164" s="540" t="s">
        <v>606</v>
      </c>
      <c r="G164" s="2331" t="s">
        <v>565</v>
      </c>
      <c r="H164" s="545"/>
      <c r="I164" s="545"/>
      <c r="J164" s="545">
        <v>193.13</v>
      </c>
      <c r="K164" s="545"/>
      <c r="L164" s="1525" t="s">
        <v>566</v>
      </c>
      <c r="M164" s="734"/>
      <c r="N164" s="1642"/>
      <c r="O164" s="1642"/>
      <c r="P164" s="1366"/>
      <c r="Q164" s="1366"/>
      <c r="R164" s="1366"/>
      <c r="S164" s="1366"/>
      <c r="T164" s="1642"/>
      <c r="U164" s="1366"/>
      <c r="V164" s="1366"/>
      <c r="W164" s="736"/>
      <c r="X164" s="1366"/>
      <c r="Y164" s="1366"/>
      <c r="Z164" s="1366"/>
      <c r="AA164" s="1366"/>
      <c r="AB164" s="1366"/>
      <c r="AC164" s="1632"/>
      <c r="AD164" s="1632"/>
      <c r="AE164" s="1632"/>
      <c r="AF164" s="1632"/>
      <c r="AG164" s="1632"/>
      <c r="AH164" s="1635">
        <v>0</v>
      </c>
    </row>
    <row s="1847" customFormat="1" customHeight="1" ht="22.5">
      <c r="A165" s="987"/>
      <c r="B165" s="1366"/>
      <c r="C165" s="1642"/>
      <c r="D165" s="683" t="s">
        <v>121</v>
      </c>
      <c r="E165" s="546" t="str">
        <f>E158&amp;".6"</f>
        <v>16.6</v>
      </c>
      <c r="F165" s="540" t="s">
        <v>607</v>
      </c>
      <c r="G165" s="2331" t="s">
        <v>565</v>
      </c>
      <c r="H165" s="545"/>
      <c r="I165" s="545"/>
      <c r="J165" s="545"/>
      <c r="K165" s="545">
        <v>233.56</v>
      </c>
      <c r="L165" s="1525" t="s">
        <v>566</v>
      </c>
      <c r="M165" s="734"/>
      <c r="N165" s="1642"/>
      <c r="O165" s="1642"/>
      <c r="P165" s="1366"/>
      <c r="Q165" s="1366"/>
      <c r="R165" s="1366"/>
      <c r="S165" s="1366"/>
      <c r="T165" s="1642"/>
      <c r="U165" s="1366"/>
      <c r="V165" s="1366"/>
      <c r="W165" s="736"/>
      <c r="X165" s="1366"/>
      <c r="Y165" s="1366"/>
      <c r="Z165" s="1366"/>
      <c r="AA165" s="1366"/>
      <c r="AB165" s="1366"/>
      <c r="AC165" s="1632"/>
      <c r="AD165" s="1632"/>
      <c r="AE165" s="1632"/>
      <c r="AF165" s="1632"/>
      <c r="AG165" s="1632"/>
      <c r="AH165" s="1635">
        <v>0</v>
      </c>
    </row>
    <row customHeight="1" ht="15">
      <c r="A166" s="2390"/>
      <c r="D166" s="1633"/>
      <c r="E166" s="570"/>
      <c r="F166" s="1168" t="s">
        <v>608</v>
      </c>
      <c r="G166" s="572"/>
      <c r="H166" s="573"/>
      <c r="I166" s="573"/>
      <c r="J166" s="2668"/>
      <c r="K166" s="2669"/>
      <c r="L166" s="1004" t="s">
        <v>622</v>
      </c>
      <c r="M166" s="543"/>
      <c r="AH166" s="1631">
        <v>0</v>
      </c>
    </row>
    <row customHeight="1" ht="48.64582061767578">
      <c r="A167" s="2390"/>
      <c r="D167" s="1638"/>
      <c r="E167" s="546" t="str">
        <f>FHD_NUM_P_80</f>
        <v>17</v>
      </c>
      <c r="F167" s="187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67" s="1875" t="s">
        <v>623</v>
      </c>
      <c r="H167" s="557"/>
      <c r="I167" s="557">
        <v>0.057</v>
      </c>
      <c r="J167" s="557">
        <v>0.059</v>
      </c>
      <c r="K167" s="557">
        <v>0.055</v>
      </c>
      <c r="L167" s="289" t="str">
        <f>FHD_NOTE_P_80</f>
        <v>Регулируемыми организациями указывается информация с по договорам, заключенным в рамках осуществления регулируемой деятельности.</v>
      </c>
      <c r="M167" s="543"/>
      <c r="AH167" s="1631">
        <v>0</v>
      </c>
    </row>
    <row customHeight="1" ht="45.312487284342446">
      <c r="A168" s="2390"/>
      <c r="D168" s="1638"/>
      <c r="E168" s="546" t="str">
        <f>FHD_NUM_P_81</f>
        <v>18</v>
      </c>
      <c r="F168" s="187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68" s="1875" t="s">
        <v>624</v>
      </c>
      <c r="H168" s="557"/>
      <c r="I168" s="557">
        <v>0.76</v>
      </c>
      <c r="J168" s="557">
        <v>0.165</v>
      </c>
      <c r="K168" s="557">
        <v>0.126</v>
      </c>
      <c r="L168" s="289" t="str">
        <f>FHD_NOTE_P_81</f>
        <v>Регулируемыми организациями указывается информация с по договорам, заключенным в рамках осуществления регулируемой деятельности.</v>
      </c>
      <c r="M168" s="543"/>
      <c r="AH168" s="1631">
        <v>0</v>
      </c>
    </row>
    <row customHeight="1" ht="70.31248728434245">
      <c r="A169" s="2390"/>
      <c r="C169" s="1636" t="s">
        <v>594</v>
      </c>
      <c r="D169" s="1638"/>
      <c r="E169" s="546" t="str">
        <f>FHD_NUM_P_82</f>
        <v>19</v>
      </c>
      <c r="F169" s="187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69" s="1875" t="s">
        <v>311</v>
      </c>
      <c r="H169" s="401"/>
      <c r="I169" s="2660" t="s">
        <v>625</v>
      </c>
      <c r="J169" s="2660" t="s">
        <v>625</v>
      </c>
      <c r="K169" s="2660" t="s">
        <v>625</v>
      </c>
      <c r="L169" s="289" t="str">
        <f>FHD_NOTE_P_82</f>
        <v>Указывается ссылка на документ, предварительно загруженный в хранилище файлов ФГИС ЕИАС.</v>
      </c>
      <c r="M169" s="543"/>
      <c r="AH169" s="1631">
        <v>0</v>
      </c>
    </row>
    <row customHeight="1" ht="33.64582061767578">
      <c r="A170" s="2390"/>
      <c r="C170" s="1636" t="s">
        <v>594</v>
      </c>
      <c r="D170" s="1638"/>
      <c r="E170" s="546" t="str">
        <f>FHD_NUM_P_83</f>
        <v>19.1</v>
      </c>
      <c r="F170" s="1524" t="str">
        <f>FHD_P_83</f>
        <v>Информация о показателях физического износа объектов теплоснабжения</v>
      </c>
      <c r="G170" s="1875" t="s">
        <v>311</v>
      </c>
      <c r="H170" s="401"/>
      <c r="I170" s="2660" t="s">
        <v>625</v>
      </c>
      <c r="J170" s="2660" t="s">
        <v>625</v>
      </c>
      <c r="K170" s="2660" t="s">
        <v>625</v>
      </c>
      <c r="L170" s="289" t="str">
        <f>FHD_NOTE_P_83</f>
        <v>Указывается ссылка на документ, предварительно загруженный в хранилище файлов ФГИС ЕИАС.</v>
      </c>
      <c r="M170" s="543"/>
      <c r="AH170" s="1631">
        <v>0</v>
      </c>
    </row>
    <row customHeight="1" ht="26.14582061767578">
      <c r="A171" s="2390"/>
      <c r="C171" s="1636" t="s">
        <v>594</v>
      </c>
      <c r="D171" s="1638"/>
      <c r="E171" s="546" t="str">
        <f>FHD_NUM_P_84</f>
        <v>19.2</v>
      </c>
      <c r="F171" s="1524" t="str">
        <f>FHD_P_84</f>
        <v>Информация о показателях энергетической эффективности объектов теплоснабжения</v>
      </c>
      <c r="G171" s="1875" t="s">
        <v>311</v>
      </c>
      <c r="H171" s="401"/>
      <c r="I171" s="2660" t="s">
        <v>625</v>
      </c>
      <c r="J171" s="2660" t="s">
        <v>625</v>
      </c>
      <c r="K171" s="2660" t="s">
        <v>625</v>
      </c>
      <c r="L171" s="289" t="str">
        <f>FHD_NOTE_P_84</f>
        <v>Указывается ссылка на документ, предварительно загруженный в хранилище файлов ФГИС ЕИАС.</v>
      </c>
      <c r="M171" s="543"/>
      <c r="AH171" s="1631">
        <v>0</v>
      </c>
    </row>
    <row customHeight="1" ht="11.549999999999999">
      <c r="D172" s="1638"/>
      <c r="J172" s="1635"/>
      <c r="K172" s="1635"/>
      <c r="AH172" s="1631">
        <v>11</v>
      </c>
    </row>
    <row customHeight="1" ht="13.5">
      <c r="D173" s="1638"/>
      <c r="E173" s="336"/>
      <c r="F173" s="369"/>
      <c r="G173" s="369"/>
      <c r="H173" s="369"/>
      <c r="I173" s="1647"/>
      <c r="J173" s="1686"/>
      <c r="K173" s="1686"/>
      <c r="L173" s="581"/>
      <c r="AH173" s="1631">
        <v>13</v>
      </c>
    </row>
    <row s="1641" customFormat="1" customHeight="1" ht="11.549999999999999">
      <c r="A174" s="987"/>
      <c r="B174" s="1636"/>
      <c r="C174" s="1636"/>
      <c r="D174" s="351"/>
      <c r="F174" s="1640"/>
      <c r="G174" s="1631"/>
      <c r="H174" s="1631"/>
      <c r="I174" s="1631"/>
      <c r="J174" s="1635"/>
      <c r="K174" s="1635"/>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H177" s="566" t="str">
        <f>IF(H30-H31&lt;&gt;H95,"WARNING","")</f>
        <v/>
      </c>
      <c r="I177" s="566" t="str">
        <f>IF(I30-I31&lt;&gt;I95,"WARNING","")</f>
        <v>WARNING</v>
      </c>
      <c r="J177" s="622" t="str">
        <f>IF(J30-J31&lt;&gt;J95,"WARNING","")</f>
        <v>WARNING</v>
      </c>
      <c r="K177" s="622" t="str">
        <f>IF(K30-K31&lt;&gt;K95,"WARNING","")</f>
        <v>WARNING</v>
      </c>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s="1641" customFormat="1" customHeight="1" ht="11.549999999999999">
      <c r="A289" s="987"/>
      <c r="B289" s="1636"/>
      <c r="C289" s="1636"/>
      <c r="D289" s="351"/>
      <c r="J289" s="1641"/>
      <c r="K289" s="1641"/>
      <c r="M289" s="1160"/>
      <c r="N289" s="1636"/>
      <c r="O289" s="1636"/>
      <c r="P289" s="1160"/>
      <c r="Q289" s="1160"/>
      <c r="R289" s="1160"/>
      <c r="S289" s="1160"/>
      <c r="T289" s="1636"/>
      <c r="U289" s="1160"/>
      <c r="V289" s="1160"/>
      <c r="W289" s="544"/>
      <c r="X289" s="1160"/>
      <c r="Y289" s="1160"/>
      <c r="Z289" s="1160"/>
      <c r="AA289" s="1160"/>
      <c r="AB289" s="1160"/>
      <c r="AC289" s="1632"/>
      <c r="AD289" s="566"/>
      <c r="AE289" s="566"/>
      <c r="AF289" s="566"/>
      <c r="AG289" s="566"/>
      <c r="AH289" s="1641">
        <v>11</v>
      </c>
    </row>
    <row s="1641" customFormat="1" customHeight="1" ht="11.549999999999999">
      <c r="A290" s="987"/>
      <c r="B290" s="1636"/>
      <c r="C290" s="1636"/>
      <c r="D290" s="351"/>
      <c r="J290" s="1641"/>
      <c r="K290" s="1641"/>
      <c r="M290" s="1160"/>
      <c r="N290" s="1636"/>
      <c r="O290" s="1636"/>
      <c r="P290" s="1160"/>
      <c r="Q290" s="1160"/>
      <c r="R290" s="1160"/>
      <c r="S290" s="1160"/>
      <c r="T290" s="1636"/>
      <c r="U290" s="1160"/>
      <c r="V290" s="1160"/>
      <c r="W290" s="544"/>
      <c r="X290" s="1160"/>
      <c r="Y290" s="1160"/>
      <c r="Z290" s="1160"/>
      <c r="AA290" s="1160"/>
      <c r="AB290" s="1160"/>
      <c r="AC290" s="1632"/>
      <c r="AD290" s="566"/>
      <c r="AE290" s="566"/>
      <c r="AF290" s="566"/>
      <c r="AG290" s="566"/>
      <c r="AH290" s="1641">
        <v>11</v>
      </c>
    </row>
    <row s="1641" customFormat="1" customHeight="1" ht="11.549999999999999">
      <c r="A291" s="987"/>
      <c r="B291" s="1636"/>
      <c r="C291" s="1636"/>
      <c r="D291" s="351"/>
      <c r="J291" s="1641"/>
      <c r="K291" s="1641"/>
      <c r="M291" s="1160"/>
      <c r="N291" s="1636"/>
      <c r="O291" s="1636"/>
      <c r="P291" s="1160"/>
      <c r="Q291" s="1160"/>
      <c r="R291" s="1160"/>
      <c r="S291" s="1160"/>
      <c r="T291" s="1636"/>
      <c r="U291" s="1160"/>
      <c r="V291" s="1160"/>
      <c r="W291" s="544"/>
      <c r="X291" s="1160"/>
      <c r="Y291" s="1160"/>
      <c r="Z291" s="1160"/>
      <c r="AA291" s="1160"/>
      <c r="AB291" s="1160"/>
      <c r="AC291" s="1632"/>
      <c r="AD291" s="566"/>
      <c r="AE291" s="566"/>
      <c r="AF291" s="566"/>
      <c r="AG291" s="566"/>
      <c r="AH291" s="1641">
        <v>11</v>
      </c>
    </row>
    <row s="1641" customFormat="1" customHeight="1" ht="11.549999999999999">
      <c r="A292" s="987"/>
      <c r="B292" s="1636"/>
      <c r="C292" s="1636"/>
      <c r="D292" s="351"/>
      <c r="J292" s="1641"/>
      <c r="K292" s="1641"/>
      <c r="M292" s="1160"/>
      <c r="N292" s="1636"/>
      <c r="O292" s="1636"/>
      <c r="P292" s="1160"/>
      <c r="Q292" s="1160"/>
      <c r="R292" s="1160"/>
      <c r="S292" s="1160"/>
      <c r="T292" s="1636"/>
      <c r="U292" s="1160"/>
      <c r="V292" s="1160"/>
      <c r="W292" s="544"/>
      <c r="X292" s="1160"/>
      <c r="Y292" s="1160"/>
      <c r="Z292" s="1160"/>
      <c r="AA292" s="1160"/>
      <c r="AB292" s="1160"/>
      <c r="AC292" s="1632"/>
      <c r="AD292" s="566"/>
      <c r="AE292" s="566"/>
      <c r="AF292" s="566"/>
      <c r="AG292" s="566"/>
      <c r="AH292" s="1641">
        <v>11</v>
      </c>
    </row>
    <row s="1641" customFormat="1" customHeight="1" ht="11.549999999999999">
      <c r="A293" s="987"/>
      <c r="B293" s="1636"/>
      <c r="C293" s="1636"/>
      <c r="D293" s="351"/>
      <c r="J293" s="1641"/>
      <c r="K293" s="1641"/>
      <c r="M293" s="1160"/>
      <c r="N293" s="1636"/>
      <c r="O293" s="1636"/>
      <c r="P293" s="1160"/>
      <c r="Q293" s="1160"/>
      <c r="R293" s="1160"/>
      <c r="S293" s="1160"/>
      <c r="T293" s="1636"/>
      <c r="U293" s="1160"/>
      <c r="V293" s="1160"/>
      <c r="W293" s="544"/>
      <c r="X293" s="1160"/>
      <c r="Y293" s="1160"/>
      <c r="Z293" s="1160"/>
      <c r="AA293" s="1160"/>
      <c r="AB293" s="1160"/>
      <c r="AC293" s="1632"/>
      <c r="AD293" s="566"/>
      <c r="AE293" s="566"/>
      <c r="AF293" s="566"/>
      <c r="AG293" s="566"/>
      <c r="AH293" s="1641">
        <v>11</v>
      </c>
    </row>
    <row s="1641" customFormat="1" customHeight="1" ht="11.549999999999999">
      <c r="A294" s="987"/>
      <c r="B294" s="1636"/>
      <c r="C294" s="1636"/>
      <c r="D294" s="351"/>
      <c r="J294" s="1641"/>
      <c r="K294" s="1641"/>
      <c r="M294" s="1160"/>
      <c r="N294" s="1636"/>
      <c r="O294" s="1636"/>
      <c r="P294" s="1160"/>
      <c r="Q294" s="1160"/>
      <c r="R294" s="1160"/>
      <c r="S294" s="1160"/>
      <c r="T294" s="1636"/>
      <c r="U294" s="1160"/>
      <c r="V294" s="1160"/>
      <c r="W294" s="544"/>
      <c r="X294" s="1160"/>
      <c r="Y294" s="1160"/>
      <c r="Z294" s="1160"/>
      <c r="AA294" s="1160"/>
      <c r="AB294" s="1160"/>
      <c r="AC294" s="1632"/>
      <c r="AD294" s="566"/>
      <c r="AE294" s="566"/>
      <c r="AF294" s="566"/>
      <c r="AG294" s="566"/>
      <c r="AH294" s="1641">
        <v>11</v>
      </c>
    </row>
    <row s="1641" customFormat="1" customHeight="1" ht="11.549999999999999">
      <c r="A295" s="987"/>
      <c r="B295" s="1636"/>
      <c r="C295" s="1636"/>
      <c r="D295" s="351"/>
      <c r="J295" s="1641"/>
      <c r="K295" s="1641"/>
      <c r="M295" s="1160"/>
      <c r="N295" s="1636"/>
      <c r="O295" s="1636"/>
      <c r="P295" s="1160"/>
      <c r="Q295" s="1160"/>
      <c r="R295" s="1160"/>
      <c r="S295" s="1160"/>
      <c r="T295" s="1636"/>
      <c r="U295" s="1160"/>
      <c r="V295" s="1160"/>
      <c r="W295" s="544"/>
      <c r="X295" s="1160"/>
      <c r="Y295" s="1160"/>
      <c r="Z295" s="1160"/>
      <c r="AA295" s="1160"/>
      <c r="AB295" s="1160"/>
      <c r="AC295" s="1632"/>
      <c r="AD295" s="566"/>
      <c r="AE295" s="566"/>
      <c r="AF295" s="566"/>
      <c r="AG295" s="566"/>
      <c r="AH295" s="1641">
        <v>11</v>
      </c>
    </row>
    <row s="1641" customFormat="1" customHeight="1" ht="11.549999999999999">
      <c r="A296" s="987"/>
      <c r="B296" s="1636"/>
      <c r="C296" s="1636"/>
      <c r="D296" s="351"/>
      <c r="J296" s="1641"/>
      <c r="K296" s="1641"/>
      <c r="M296" s="1160"/>
      <c r="N296" s="1636"/>
      <c r="O296" s="1636"/>
      <c r="P296" s="1160"/>
      <c r="Q296" s="1160"/>
      <c r="R296" s="1160"/>
      <c r="S296" s="1160"/>
      <c r="T296" s="1636"/>
      <c r="U296" s="1160"/>
      <c r="V296" s="1160"/>
      <c r="W296" s="544"/>
      <c r="X296" s="1160"/>
      <c r="Y296" s="1160"/>
      <c r="Z296" s="1160"/>
      <c r="AA296" s="1160"/>
      <c r="AB296" s="1160"/>
      <c r="AC296" s="1632"/>
      <c r="AD296" s="566"/>
      <c r="AE296" s="566"/>
      <c r="AF296" s="566"/>
      <c r="AG296" s="566"/>
      <c r="AH296" s="1641">
        <v>11</v>
      </c>
    </row>
    <row s="1641" customFormat="1" customHeight="1" ht="11.549999999999999">
      <c r="A297" s="987"/>
      <c r="B297" s="1636"/>
      <c r="C297" s="1636"/>
      <c r="D297" s="351"/>
      <c r="J297" s="1641"/>
      <c r="K297" s="1641"/>
      <c r="M297" s="1160"/>
      <c r="N297" s="1636"/>
      <c r="O297" s="1636"/>
      <c r="P297" s="1160"/>
      <c r="Q297" s="1160"/>
      <c r="R297" s="1160"/>
      <c r="S297" s="1160"/>
      <c r="T297" s="1636"/>
      <c r="U297" s="1160"/>
      <c r="V297" s="1160"/>
      <c r="W297" s="544"/>
      <c r="X297" s="1160"/>
      <c r="Y297" s="1160"/>
      <c r="Z297" s="1160"/>
      <c r="AA297" s="1160"/>
      <c r="AB297" s="1160"/>
      <c r="AC297" s="1632"/>
      <c r="AD297" s="566"/>
      <c r="AE297" s="566"/>
      <c r="AF297" s="566"/>
      <c r="AG297" s="566"/>
      <c r="AH297" s="1641">
        <v>11</v>
      </c>
    </row>
    <row s="1641" customFormat="1" customHeight="1" ht="11.549999999999999">
      <c r="A298" s="987"/>
      <c r="B298" s="1636"/>
      <c r="C298" s="1636"/>
      <c r="D298" s="351"/>
      <c r="J298" s="1641"/>
      <c r="K298" s="1641"/>
      <c r="M298" s="1160"/>
      <c r="N298" s="1636"/>
      <c r="O298" s="1636"/>
      <c r="P298" s="1160"/>
      <c r="Q298" s="1160"/>
      <c r="R298" s="1160"/>
      <c r="S298" s="1160"/>
      <c r="T298" s="1636"/>
      <c r="U298" s="1160"/>
      <c r="V298" s="1160"/>
      <c r="W298" s="544"/>
      <c r="X298" s="1160"/>
      <c r="Y298" s="1160"/>
      <c r="Z298" s="1160"/>
      <c r="AA298" s="1160"/>
      <c r="AB298" s="1160"/>
      <c r="AC298" s="1632"/>
      <c r="AD298" s="566"/>
      <c r="AE298" s="566"/>
      <c r="AF298" s="566"/>
      <c r="AG298" s="566"/>
      <c r="AH298" s="1641">
        <v>11</v>
      </c>
    </row>
    <row s="1641" customFormat="1" customHeight="1" ht="11.549999999999999">
      <c r="A299" s="987"/>
      <c r="B299" s="1636"/>
      <c r="C299" s="1636"/>
      <c r="D299" s="351"/>
      <c r="J299" s="1641"/>
      <c r="K299" s="1641"/>
      <c r="M299" s="1160"/>
      <c r="N299" s="1636"/>
      <c r="O299" s="1636"/>
      <c r="P299" s="1160"/>
      <c r="Q299" s="1160"/>
      <c r="R299" s="1160"/>
      <c r="S299" s="1160"/>
      <c r="T299" s="1636"/>
      <c r="U299" s="1160"/>
      <c r="V299" s="1160"/>
      <c r="W299" s="544"/>
      <c r="X299" s="1160"/>
      <c r="Y299" s="1160"/>
      <c r="Z299" s="1160"/>
      <c r="AA299" s="1160"/>
      <c r="AB299" s="1160"/>
      <c r="AC299" s="1632"/>
      <c r="AD299" s="566"/>
      <c r="AE299" s="566"/>
      <c r="AF299" s="566"/>
      <c r="AG299" s="566"/>
      <c r="AH299" s="1641">
        <v>11</v>
      </c>
    </row>
    <row s="1641" customFormat="1" customHeight="1" ht="11.549999999999999">
      <c r="A300" s="987"/>
      <c r="B300" s="1636"/>
      <c r="C300" s="1636"/>
      <c r="D300" s="351"/>
      <c r="J300" s="1641"/>
      <c r="K300" s="1641"/>
      <c r="M300" s="1160"/>
      <c r="N300" s="1636"/>
      <c r="O300" s="1636"/>
      <c r="P300" s="1160"/>
      <c r="Q300" s="1160"/>
      <c r="R300" s="1160"/>
      <c r="S300" s="1160"/>
      <c r="T300" s="1636"/>
      <c r="U300" s="1160"/>
      <c r="V300" s="1160"/>
      <c r="W300" s="544"/>
      <c r="X300" s="1160"/>
      <c r="Y300" s="1160"/>
      <c r="Z300" s="1160"/>
      <c r="AA300" s="1160"/>
      <c r="AB300" s="1160"/>
      <c r="AC300" s="1632"/>
      <c r="AD300" s="566"/>
      <c r="AE300" s="566"/>
      <c r="AF300" s="566"/>
      <c r="AG300" s="566"/>
      <c r="AH300" s="1641">
        <v>11</v>
      </c>
    </row>
    <row s="1641" customFormat="1" customHeight="1" ht="11.549999999999999">
      <c r="A301" s="987"/>
      <c r="B301" s="1636"/>
      <c r="C301" s="1636"/>
      <c r="D301" s="351"/>
      <c r="J301" s="1641"/>
      <c r="K301" s="1641"/>
      <c r="M301" s="1160"/>
      <c r="N301" s="1636"/>
      <c r="O301" s="1636"/>
      <c r="P301" s="1160"/>
      <c r="Q301" s="1160"/>
      <c r="R301" s="1160"/>
      <c r="S301" s="1160"/>
      <c r="T301" s="1636"/>
      <c r="U301" s="1160"/>
      <c r="V301" s="1160"/>
      <c r="W301" s="544"/>
      <c r="X301" s="1160"/>
      <c r="Y301" s="1160"/>
      <c r="Z301" s="1160"/>
      <c r="AA301" s="1160"/>
      <c r="AB301" s="1160"/>
      <c r="AC301" s="1632"/>
      <c r="AD301" s="566"/>
      <c r="AE301" s="566"/>
      <c r="AF301" s="566"/>
      <c r="AG301" s="566"/>
      <c r="AH301" s="1641">
        <v>11</v>
      </c>
    </row>
    <row s="1641" customFormat="1" customHeight="1" ht="11.549999999999999">
      <c r="A302" s="987"/>
      <c r="B302" s="1636"/>
      <c r="C302" s="1636"/>
      <c r="D302" s="351"/>
      <c r="J302" s="1641"/>
      <c r="K302" s="1641"/>
      <c r="M302" s="1160"/>
      <c r="N302" s="1636"/>
      <c r="O302" s="1636"/>
      <c r="P302" s="1160"/>
      <c r="Q302" s="1160"/>
      <c r="R302" s="1160"/>
      <c r="S302" s="1160"/>
      <c r="T302" s="1636"/>
      <c r="U302" s="1160"/>
      <c r="V302" s="1160"/>
      <c r="W302" s="544"/>
      <c r="X302" s="1160"/>
      <c r="Y302" s="1160"/>
      <c r="Z302" s="1160"/>
      <c r="AA302" s="1160"/>
      <c r="AB302" s="1160"/>
      <c r="AC302" s="1632"/>
      <c r="AD302" s="566"/>
      <c r="AE302" s="566"/>
      <c r="AF302" s="566"/>
      <c r="AG302" s="566"/>
      <c r="AH302" s="1641">
        <v>11</v>
      </c>
    </row>
    <row s="1641" customFormat="1" customHeight="1" ht="11.549999999999999">
      <c r="A303" s="987"/>
      <c r="B303" s="1636"/>
      <c r="C303" s="1636"/>
      <c r="D303" s="351"/>
      <c r="J303" s="1641"/>
      <c r="K303" s="1641"/>
      <c r="M303" s="1160"/>
      <c r="N303" s="1636"/>
      <c r="O303" s="1636"/>
      <c r="P303" s="1160"/>
      <c r="Q303" s="1160"/>
      <c r="R303" s="1160"/>
      <c r="S303" s="1160"/>
      <c r="T303" s="1636"/>
      <c r="U303" s="1160"/>
      <c r="V303" s="1160"/>
      <c r="W303" s="544"/>
      <c r="X303" s="1160"/>
      <c r="Y303" s="1160"/>
      <c r="Z303" s="1160"/>
      <c r="AA303" s="1160"/>
      <c r="AB303" s="1160"/>
      <c r="AC303" s="1632"/>
      <c r="AD303" s="566"/>
      <c r="AE303" s="566"/>
      <c r="AF303" s="566"/>
      <c r="AG303" s="566"/>
      <c r="AH303" s="1641">
        <v>11</v>
      </c>
    </row>
    <row s="1641" customFormat="1" customHeight="1" ht="11.549999999999999">
      <c r="A304" s="987"/>
      <c r="B304" s="1636"/>
      <c r="C304" s="1636"/>
      <c r="D304" s="351"/>
      <c r="J304" s="1641"/>
      <c r="K304" s="1641"/>
      <c r="M304" s="1160"/>
      <c r="N304" s="1636"/>
      <c r="O304" s="1636"/>
      <c r="P304" s="1160"/>
      <c r="Q304" s="1160"/>
      <c r="R304" s="1160"/>
      <c r="S304" s="1160"/>
      <c r="T304" s="1636"/>
      <c r="U304" s="1160"/>
      <c r="V304" s="1160"/>
      <c r="W304" s="544"/>
      <c r="X304" s="1160"/>
      <c r="Y304" s="1160"/>
      <c r="Z304" s="1160"/>
      <c r="AA304" s="1160"/>
      <c r="AB304" s="1160"/>
      <c r="AC304" s="1632"/>
      <c r="AD304" s="566"/>
      <c r="AE304" s="566"/>
      <c r="AF304" s="566"/>
      <c r="AG304" s="566"/>
      <c r="AH304" s="1641">
        <v>11</v>
      </c>
    </row>
    <row s="1641" customFormat="1" customHeight="1" ht="11.549999999999999">
      <c r="A305" s="987"/>
      <c r="B305" s="1636"/>
      <c r="C305" s="1636"/>
      <c r="D305" s="351"/>
      <c r="J305" s="1641"/>
      <c r="K305" s="1641"/>
      <c r="M305" s="1160"/>
      <c r="N305" s="1636"/>
      <c r="O305" s="1636"/>
      <c r="P305" s="1160"/>
      <c r="Q305" s="1160"/>
      <c r="R305" s="1160"/>
      <c r="S305" s="1160"/>
      <c r="T305" s="1636"/>
      <c r="U305" s="1160"/>
      <c r="V305" s="1160"/>
      <c r="W305" s="544"/>
      <c r="X305" s="1160"/>
      <c r="Y305" s="1160"/>
      <c r="Z305" s="1160"/>
      <c r="AA305" s="1160"/>
      <c r="AB305" s="1160"/>
      <c r="AC305" s="1632"/>
      <c r="AD305" s="566"/>
      <c r="AE305" s="566"/>
      <c r="AF305" s="566"/>
      <c r="AG305" s="566"/>
      <c r="AH305" s="1641">
        <v>11</v>
      </c>
    </row>
    <row s="1641" customFormat="1" customHeight="1" ht="11.549999999999999">
      <c r="A306" s="987"/>
      <c r="B306" s="1636"/>
      <c r="C306" s="1636"/>
      <c r="D306" s="351"/>
      <c r="J306" s="1641"/>
      <c r="K306" s="1641"/>
      <c r="M306" s="1160"/>
      <c r="N306" s="1636"/>
      <c r="O306" s="1636"/>
      <c r="P306" s="1160"/>
      <c r="Q306" s="1160"/>
      <c r="R306" s="1160"/>
      <c r="S306" s="1160"/>
      <c r="T306" s="1636"/>
      <c r="U306" s="1160"/>
      <c r="V306" s="1160"/>
      <c r="W306" s="544"/>
      <c r="X306" s="1160"/>
      <c r="Y306" s="1160"/>
      <c r="Z306" s="1160"/>
      <c r="AA306" s="1160"/>
      <c r="AB306" s="1160"/>
      <c r="AC306" s="1632"/>
      <c r="AD306" s="566"/>
      <c r="AE306" s="566"/>
      <c r="AF306" s="566"/>
      <c r="AG306" s="566"/>
      <c r="AH306" s="1641">
        <v>11</v>
      </c>
    </row>
    <row s="1641" customFormat="1" customHeight="1" ht="11.549999999999999">
      <c r="A307" s="987"/>
      <c r="B307" s="1636"/>
      <c r="C307" s="1636"/>
      <c r="D307" s="351"/>
      <c r="J307" s="1641"/>
      <c r="K307" s="1641"/>
      <c r="M307" s="1160"/>
      <c r="N307" s="1636"/>
      <c r="O307" s="1636"/>
      <c r="P307" s="1160"/>
      <c r="Q307" s="1160"/>
      <c r="R307" s="1160"/>
      <c r="S307" s="1160"/>
      <c r="T307" s="1636"/>
      <c r="U307" s="1160"/>
      <c r="V307" s="1160"/>
      <c r="W307" s="544"/>
      <c r="X307" s="1160"/>
      <c r="Y307" s="1160"/>
      <c r="Z307" s="1160"/>
      <c r="AA307" s="1160"/>
      <c r="AB307" s="1160"/>
      <c r="AC307" s="1632"/>
      <c r="AD307" s="566"/>
      <c r="AE307" s="566"/>
      <c r="AF307" s="566"/>
      <c r="AG307" s="566"/>
      <c r="AH307" s="1641">
        <v>11</v>
      </c>
    </row>
    <row s="1641" customFormat="1" customHeight="1" ht="11.549999999999999">
      <c r="A308" s="987"/>
      <c r="B308" s="1636"/>
      <c r="C308" s="1636"/>
      <c r="D308" s="351"/>
      <c r="J308" s="1641"/>
      <c r="K308" s="1641"/>
      <c r="M308" s="1160"/>
      <c r="N308" s="1636"/>
      <c r="O308" s="1636"/>
      <c r="P308" s="1160"/>
      <c r="Q308" s="1160"/>
      <c r="R308" s="1160"/>
      <c r="S308" s="1160"/>
      <c r="T308" s="1636"/>
      <c r="U308" s="1160"/>
      <c r="V308" s="1160"/>
      <c r="W308" s="544"/>
      <c r="X308" s="1160"/>
      <c r="Y308" s="1160"/>
      <c r="Z308" s="1160"/>
      <c r="AA308" s="1160"/>
      <c r="AB308" s="1160"/>
      <c r="AC308" s="1632"/>
      <c r="AD308" s="566"/>
      <c r="AE308" s="566"/>
      <c r="AF308" s="566"/>
      <c r="AG308" s="566"/>
      <c r="AH308" s="1641">
        <v>11</v>
      </c>
    </row>
    <row s="1641" customFormat="1" customHeight="1" ht="11.549999999999999">
      <c r="A309" s="987"/>
      <c r="B309" s="1636"/>
      <c r="C309" s="1636"/>
      <c r="D309" s="351"/>
      <c r="J309" s="1641"/>
      <c r="K309" s="1641"/>
      <c r="M309" s="1160"/>
      <c r="N309" s="1636"/>
      <c r="O309" s="1636"/>
      <c r="P309" s="1160"/>
      <c r="Q309" s="1160"/>
      <c r="R309" s="1160"/>
      <c r="S309" s="1160"/>
      <c r="T309" s="1636"/>
      <c r="U309" s="1160"/>
      <c r="V309" s="1160"/>
      <c r="W309" s="544"/>
      <c r="X309" s="1160"/>
      <c r="Y309" s="1160"/>
      <c r="Z309" s="1160"/>
      <c r="AA309" s="1160"/>
      <c r="AB309" s="1160"/>
      <c r="AC309" s="1632"/>
      <c r="AD309" s="566"/>
      <c r="AE309" s="566"/>
      <c r="AF309" s="566"/>
      <c r="AG309" s="566"/>
      <c r="AH309" s="1641">
        <v>11</v>
      </c>
    </row>
    <row s="1641" customFormat="1" customHeight="1" ht="11.549999999999999">
      <c r="A310" s="987"/>
      <c r="B310" s="1636"/>
      <c r="C310" s="1636"/>
      <c r="D310" s="351"/>
      <c r="J310" s="1641"/>
      <c r="K310" s="1641"/>
      <c r="M310" s="1160"/>
      <c r="N310" s="1636"/>
      <c r="O310" s="1636"/>
      <c r="P310" s="1160"/>
      <c r="Q310" s="1160"/>
      <c r="R310" s="1160"/>
      <c r="S310" s="1160"/>
      <c r="T310" s="1636"/>
      <c r="U310" s="1160"/>
      <c r="V310" s="1160"/>
      <c r="W310" s="544"/>
      <c r="X310" s="1160"/>
      <c r="Y310" s="1160"/>
      <c r="Z310" s="1160"/>
      <c r="AA310" s="1160"/>
      <c r="AB310" s="1160"/>
      <c r="AC310" s="1632"/>
      <c r="AD310" s="566"/>
      <c r="AE310" s="566"/>
      <c r="AF310" s="566"/>
      <c r="AG310" s="566"/>
      <c r="AH310" s="1641">
        <v>11</v>
      </c>
    </row>
    <row s="1641" customFormat="1" customHeight="1" ht="11.549999999999999">
      <c r="A311" s="987"/>
      <c r="B311" s="1636"/>
      <c r="C311" s="1636"/>
      <c r="D311" s="351"/>
      <c r="J311" s="1641"/>
      <c r="K311" s="1641"/>
      <c r="M311" s="1160"/>
      <c r="N311" s="1636"/>
      <c r="O311" s="1636"/>
      <c r="P311" s="1160"/>
      <c r="Q311" s="1160"/>
      <c r="R311" s="1160"/>
      <c r="S311" s="1160"/>
      <c r="T311" s="1636"/>
      <c r="U311" s="1160"/>
      <c r="V311" s="1160"/>
      <c r="W311" s="544"/>
      <c r="X311" s="1160"/>
      <c r="Y311" s="1160"/>
      <c r="Z311" s="1160"/>
      <c r="AA311" s="1160"/>
      <c r="AB311" s="1160"/>
      <c r="AC311" s="1632"/>
      <c r="AD311" s="566"/>
      <c r="AE311" s="566"/>
      <c r="AF311" s="566"/>
      <c r="AG311" s="566"/>
      <c r="AH311" s="1641">
        <v>11</v>
      </c>
    </row>
    <row s="1641" customFormat="1" customHeight="1" ht="11.549999999999999">
      <c r="A312" s="987"/>
      <c r="B312" s="1636"/>
      <c r="C312" s="1636"/>
      <c r="D312" s="351"/>
      <c r="J312" s="1641"/>
      <c r="K312" s="1641"/>
      <c r="M312" s="1160"/>
      <c r="N312" s="1636"/>
      <c r="O312" s="1636"/>
      <c r="P312" s="1160"/>
      <c r="Q312" s="1160"/>
      <c r="R312" s="1160"/>
      <c r="S312" s="1160"/>
      <c r="T312" s="1636"/>
      <c r="U312" s="1160"/>
      <c r="V312" s="1160"/>
      <c r="W312" s="544"/>
      <c r="X312" s="1160"/>
      <c r="Y312" s="1160"/>
      <c r="Z312" s="1160"/>
      <c r="AA312" s="1160"/>
      <c r="AB312" s="1160"/>
      <c r="AC312" s="1632"/>
      <c r="AD312" s="566"/>
      <c r="AE312" s="566"/>
      <c r="AF312" s="566"/>
      <c r="AG312" s="566"/>
      <c r="AH312" s="1641">
        <v>11</v>
      </c>
    </row>
    <row s="1641" customFormat="1" customHeight="1" ht="11.549999999999999">
      <c r="A313" s="987"/>
      <c r="B313" s="1636"/>
      <c r="C313" s="1636"/>
      <c r="D313" s="351"/>
      <c r="J313" s="1641"/>
      <c r="K313" s="1641"/>
      <c r="M313" s="1160"/>
      <c r="N313" s="1636"/>
      <c r="O313" s="1636"/>
      <c r="P313" s="1160"/>
      <c r="Q313" s="1160"/>
      <c r="R313" s="1160"/>
      <c r="S313" s="1160"/>
      <c r="T313" s="1636"/>
      <c r="U313" s="1160"/>
      <c r="V313" s="1160"/>
      <c r="W313" s="544"/>
      <c r="X313" s="1160"/>
      <c r="Y313" s="1160"/>
      <c r="Z313" s="1160"/>
      <c r="AA313" s="1160"/>
      <c r="AB313" s="1160"/>
      <c r="AC313" s="1632"/>
      <c r="AD313" s="566"/>
      <c r="AE313" s="566"/>
      <c r="AF313" s="566"/>
      <c r="AG313" s="566"/>
      <c r="AH313" s="1641">
        <v>11</v>
      </c>
    </row>
    <row s="1641" customFormat="1" customHeight="1" ht="11.549999999999999">
      <c r="A314" s="987"/>
      <c r="B314" s="1636"/>
      <c r="C314" s="1636"/>
      <c r="D314" s="351"/>
      <c r="J314" s="1641"/>
      <c r="K314" s="1641"/>
      <c r="M314" s="1160"/>
      <c r="N314" s="1636"/>
      <c r="O314" s="1636"/>
      <c r="P314" s="1160"/>
      <c r="Q314" s="1160"/>
      <c r="R314" s="1160"/>
      <c r="S314" s="1160"/>
      <c r="T314" s="1636"/>
      <c r="U314" s="1160"/>
      <c r="V314" s="1160"/>
      <c r="W314" s="544"/>
      <c r="X314" s="1160"/>
      <c r="Y314" s="1160"/>
      <c r="Z314" s="1160"/>
      <c r="AA314" s="1160"/>
      <c r="AB314" s="1160"/>
      <c r="AC314" s="1632"/>
      <c r="AD314" s="566"/>
      <c r="AE314" s="566"/>
      <c r="AF314" s="566"/>
      <c r="AG314" s="566"/>
      <c r="AH314" s="1641">
        <v>11</v>
      </c>
    </row>
    <row s="1641" customFormat="1" customHeight="1" ht="11.549999999999999">
      <c r="A315" s="987"/>
      <c r="B315" s="1636"/>
      <c r="C315" s="1636"/>
      <c r="D315" s="351"/>
      <c r="J315" s="1641"/>
      <c r="K315" s="1641"/>
      <c r="M315" s="1160"/>
      <c r="N315" s="1636"/>
      <c r="O315" s="1636"/>
      <c r="P315" s="1160"/>
      <c r="Q315" s="1160"/>
      <c r="R315" s="1160"/>
      <c r="S315" s="1160"/>
      <c r="T315" s="1636"/>
      <c r="U315" s="1160"/>
      <c r="V315" s="1160"/>
      <c r="W315" s="544"/>
      <c r="X315" s="1160"/>
      <c r="Y315" s="1160"/>
      <c r="Z315" s="1160"/>
      <c r="AA315" s="1160"/>
      <c r="AB315" s="1160"/>
      <c r="AC315" s="1632"/>
      <c r="AD315" s="566"/>
      <c r="AE315" s="566"/>
      <c r="AF315" s="566"/>
      <c r="AG315" s="566"/>
      <c r="AH315" s="1641">
        <v>11</v>
      </c>
    </row>
    <row s="1641" customFormat="1" customHeight="1" ht="11.549999999999999">
      <c r="A316" s="987"/>
      <c r="B316" s="1636"/>
      <c r="C316" s="1636"/>
      <c r="D316" s="351"/>
      <c r="J316" s="1641"/>
      <c r="K316" s="1641"/>
      <c r="M316" s="1160"/>
      <c r="N316" s="1636"/>
      <c r="O316" s="1636"/>
      <c r="P316" s="1160"/>
      <c r="Q316" s="1160"/>
      <c r="R316" s="1160"/>
      <c r="S316" s="1160"/>
      <c r="T316" s="1636"/>
      <c r="U316" s="1160"/>
      <c r="V316" s="1160"/>
      <c r="W316" s="544"/>
      <c r="X316" s="1160"/>
      <c r="Y316" s="1160"/>
      <c r="Z316" s="1160"/>
      <c r="AA316" s="1160"/>
      <c r="AB316" s="1160"/>
      <c r="AC316" s="1632"/>
      <c r="AD316" s="566"/>
      <c r="AE316" s="566"/>
      <c r="AF316" s="566"/>
      <c r="AG316" s="566"/>
      <c r="AH316" s="1641">
        <v>11</v>
      </c>
    </row>
    <row s="1641" customFormat="1" customHeight="1" ht="11.549999999999999">
      <c r="A317" s="987"/>
      <c r="B317" s="1636"/>
      <c r="C317" s="1636"/>
      <c r="D317" s="351"/>
      <c r="J317" s="1641"/>
      <c r="K317" s="1641"/>
      <c r="M317" s="1160"/>
      <c r="N317" s="1636"/>
      <c r="O317" s="1636"/>
      <c r="P317" s="1160"/>
      <c r="Q317" s="1160"/>
      <c r="R317" s="1160"/>
      <c r="S317" s="1160"/>
      <c r="T317" s="1636"/>
      <c r="U317" s="1160"/>
      <c r="V317" s="1160"/>
      <c r="W317" s="544"/>
      <c r="X317" s="1160"/>
      <c r="Y317" s="1160"/>
      <c r="Z317" s="1160"/>
      <c r="AA317" s="1160"/>
      <c r="AB317" s="1160"/>
      <c r="AC317" s="1632"/>
      <c r="AD317" s="566"/>
      <c r="AE317" s="566"/>
      <c r="AF317" s="566"/>
      <c r="AG317" s="566"/>
      <c r="AH317" s="1641">
        <v>11</v>
      </c>
    </row>
    <row s="1641" customFormat="1" customHeight="1" ht="11.549999999999999">
      <c r="A318" s="987"/>
      <c r="B318" s="1636"/>
      <c r="C318" s="1636"/>
      <c r="D318" s="351"/>
      <c r="J318" s="1641"/>
      <c r="K318" s="1641"/>
      <c r="M318" s="1160"/>
      <c r="N318" s="1636"/>
      <c r="O318" s="1636"/>
      <c r="P318" s="1160"/>
      <c r="Q318" s="1160"/>
      <c r="R318" s="1160"/>
      <c r="S318" s="1160"/>
      <c r="T318" s="1636"/>
      <c r="U318" s="1160"/>
      <c r="V318" s="1160"/>
      <c r="W318" s="544"/>
      <c r="X318" s="1160"/>
      <c r="Y318" s="1160"/>
      <c r="Z318" s="1160"/>
      <c r="AA318" s="1160"/>
      <c r="AB318" s="1160"/>
      <c r="AC318" s="1632"/>
      <c r="AD318" s="566"/>
      <c r="AE318" s="566"/>
      <c r="AF318" s="566"/>
      <c r="AG318" s="566"/>
      <c r="AH318" s="1641">
        <v>11</v>
      </c>
    </row>
    <row s="1641" customFormat="1" customHeight="1" ht="11.549999999999999">
      <c r="A319" s="987"/>
      <c r="B319" s="1636"/>
      <c r="C319" s="1636"/>
      <c r="D319" s="351"/>
      <c r="J319" s="1641"/>
      <c r="K319" s="1641"/>
      <c r="M319" s="1160"/>
      <c r="N319" s="1636"/>
      <c r="O319" s="1636"/>
      <c r="P319" s="1160"/>
      <c r="Q319" s="1160"/>
      <c r="R319" s="1160"/>
      <c r="S319" s="1160"/>
      <c r="T319" s="1636"/>
      <c r="U319" s="1160"/>
      <c r="V319" s="1160"/>
      <c r="W319" s="544"/>
      <c r="X319" s="1160"/>
      <c r="Y319" s="1160"/>
      <c r="Z319" s="1160"/>
      <c r="AA319" s="1160"/>
      <c r="AB319" s="1160"/>
      <c r="AC319" s="1632"/>
      <c r="AD319" s="566"/>
      <c r="AE319" s="566"/>
      <c r="AF319" s="566"/>
      <c r="AG319" s="566"/>
      <c r="AH319" s="1641">
        <v>11</v>
      </c>
    </row>
    <row s="1641" customFormat="1" customHeight="1" ht="11.549999999999999">
      <c r="A320" s="987"/>
      <c r="B320" s="1636"/>
      <c r="C320" s="1636"/>
      <c r="D320" s="351"/>
      <c r="J320" s="1641"/>
      <c r="K320" s="1641"/>
      <c r="M320" s="1160"/>
      <c r="N320" s="1636"/>
      <c r="O320" s="1636"/>
      <c r="P320" s="1160"/>
      <c r="Q320" s="1160"/>
      <c r="R320" s="1160"/>
      <c r="S320" s="1160"/>
      <c r="T320" s="1636"/>
      <c r="U320" s="1160"/>
      <c r="V320" s="1160"/>
      <c r="W320" s="544"/>
      <c r="X320" s="1160"/>
      <c r="Y320" s="1160"/>
      <c r="Z320" s="1160"/>
      <c r="AA320" s="1160"/>
      <c r="AB320" s="1160"/>
      <c r="AC320" s="1632"/>
      <c r="AD320" s="566"/>
      <c r="AE320" s="566"/>
      <c r="AF320" s="566"/>
      <c r="AG320" s="566"/>
      <c r="AH320" s="1641">
        <v>11</v>
      </c>
    </row>
    <row s="1641" customFormat="1" customHeight="1" ht="11.549999999999999">
      <c r="A321" s="987"/>
      <c r="B321" s="1636"/>
      <c r="C321" s="1636"/>
      <c r="D321" s="351"/>
      <c r="J321" s="1641"/>
      <c r="K321" s="1641"/>
      <c r="M321" s="1160"/>
      <c r="N321" s="1636"/>
      <c r="O321" s="1636"/>
      <c r="P321" s="1160"/>
      <c r="Q321" s="1160"/>
      <c r="R321" s="1160"/>
      <c r="S321" s="1160"/>
      <c r="T321" s="1636"/>
      <c r="U321" s="1160"/>
      <c r="V321" s="1160"/>
      <c r="W321" s="544"/>
      <c r="X321" s="1160"/>
      <c r="Y321" s="1160"/>
      <c r="Z321" s="1160"/>
      <c r="AA321" s="1160"/>
      <c r="AB321" s="1160"/>
      <c r="AC321" s="1632"/>
      <c r="AD321" s="566"/>
      <c r="AE321" s="566"/>
      <c r="AF321" s="566"/>
      <c r="AG321" s="566"/>
      <c r="AH321" s="1641">
        <v>11</v>
      </c>
    </row>
    <row s="1641" customFormat="1" customHeight="1" ht="11.549999999999999">
      <c r="A322" s="987"/>
      <c r="B322" s="1636"/>
      <c r="C322" s="1636"/>
      <c r="D322" s="351"/>
      <c r="J322" s="1641"/>
      <c r="K322" s="1641"/>
      <c r="M322" s="1160"/>
      <c r="N322" s="1636"/>
      <c r="O322" s="1636"/>
      <c r="P322" s="1160"/>
      <c r="Q322" s="1160"/>
      <c r="R322" s="1160"/>
      <c r="S322" s="1160"/>
      <c r="T322" s="1636"/>
      <c r="U322" s="1160"/>
      <c r="V322" s="1160"/>
      <c r="W322" s="544"/>
      <c r="X322" s="1160"/>
      <c r="Y322" s="1160"/>
      <c r="Z322" s="1160"/>
      <c r="AA322" s="1160"/>
      <c r="AB322" s="1160"/>
      <c r="AC322" s="1632"/>
      <c r="AD322" s="566"/>
      <c r="AE322" s="566"/>
      <c r="AF322" s="566"/>
      <c r="AG322" s="566"/>
      <c r="AH322" s="1641">
        <v>11</v>
      </c>
    </row>
    <row s="1641" customFormat="1" customHeight="1" ht="11.549999999999999">
      <c r="A323" s="987"/>
      <c r="B323" s="1636"/>
      <c r="C323" s="1636"/>
      <c r="D323" s="351"/>
      <c r="J323" s="1641"/>
      <c r="K323" s="1641"/>
      <c r="M323" s="1160"/>
      <c r="N323" s="1636"/>
      <c r="O323" s="1636"/>
      <c r="P323" s="1160"/>
      <c r="Q323" s="1160"/>
      <c r="R323" s="1160"/>
      <c r="S323" s="1160"/>
      <c r="T323" s="1636"/>
      <c r="U323" s="1160"/>
      <c r="V323" s="1160"/>
      <c r="W323" s="544"/>
      <c r="X323" s="1160"/>
      <c r="Y323" s="1160"/>
      <c r="Z323" s="1160"/>
      <c r="AA323" s="1160"/>
      <c r="AB323" s="1160"/>
      <c r="AC323" s="1632"/>
      <c r="AD323" s="566"/>
      <c r="AE323" s="566"/>
      <c r="AF323" s="566"/>
      <c r="AG323" s="566"/>
      <c r="AH323" s="1641">
        <v>11</v>
      </c>
    </row>
    <row s="1641" customFormat="1" customHeight="1" ht="11.549999999999999">
      <c r="A324" s="987"/>
      <c r="B324" s="1636"/>
      <c r="C324" s="1636"/>
      <c r="D324" s="351"/>
      <c r="J324" s="1641"/>
      <c r="K324" s="1641"/>
      <c r="M324" s="1160"/>
      <c r="N324" s="1636"/>
      <c r="O324" s="1636"/>
      <c r="P324" s="1160"/>
      <c r="Q324" s="1160"/>
      <c r="R324" s="1160"/>
      <c r="S324" s="1160"/>
      <c r="T324" s="1636"/>
      <c r="U324" s="1160"/>
      <c r="V324" s="1160"/>
      <c r="W324" s="544"/>
      <c r="X324" s="1160"/>
      <c r="Y324" s="1160"/>
      <c r="Z324" s="1160"/>
      <c r="AA324" s="1160"/>
      <c r="AB324" s="1160"/>
      <c r="AC324" s="1632"/>
      <c r="AD324" s="566"/>
      <c r="AE324" s="566"/>
      <c r="AF324" s="566"/>
      <c r="AG324" s="566"/>
      <c r="AH324" s="1641">
        <v>11</v>
      </c>
    </row>
    <row s="1641" customFormat="1" customHeight="1" ht="11.549999999999999">
      <c r="A325" s="987"/>
      <c r="B325" s="1636"/>
      <c r="C325" s="1636"/>
      <c r="D325" s="351"/>
      <c r="J325" s="1641"/>
      <c r="K325" s="1641"/>
      <c r="M325" s="1160"/>
      <c r="N325" s="1636"/>
      <c r="O325" s="1636"/>
      <c r="P325" s="1160"/>
      <c r="Q325" s="1160"/>
      <c r="R325" s="1160"/>
      <c r="S325" s="1160"/>
      <c r="T325" s="1636"/>
      <c r="U325" s="1160"/>
      <c r="V325" s="1160"/>
      <c r="W325" s="544"/>
      <c r="X325" s="1160"/>
      <c r="Y325" s="1160"/>
      <c r="Z325" s="1160"/>
      <c r="AA325" s="1160"/>
      <c r="AB325" s="1160"/>
      <c r="AC325" s="1632"/>
      <c r="AD325" s="566"/>
      <c r="AE325" s="566"/>
      <c r="AF325" s="566"/>
      <c r="AG325" s="566"/>
      <c r="AH325" s="1641">
        <v>11</v>
      </c>
    </row>
    <row s="1641" customFormat="1" customHeight="1" ht="11.549999999999999">
      <c r="A326" s="987"/>
      <c r="B326" s="1636"/>
      <c r="C326" s="1636"/>
      <c r="D326" s="351"/>
      <c r="J326" s="1641"/>
      <c r="K326" s="1641"/>
      <c r="M326" s="1160"/>
      <c r="N326" s="1636"/>
      <c r="O326" s="1636"/>
      <c r="P326" s="1160"/>
      <c r="Q326" s="1160"/>
      <c r="R326" s="1160"/>
      <c r="S326" s="1160"/>
      <c r="T326" s="1636"/>
      <c r="U326" s="1160"/>
      <c r="V326" s="1160"/>
      <c r="W326" s="544"/>
      <c r="X326" s="1160"/>
      <c r="Y326" s="1160"/>
      <c r="Z326" s="1160"/>
      <c r="AA326" s="1160"/>
      <c r="AB326" s="1160"/>
      <c r="AC326" s="1632"/>
      <c r="AD326" s="566"/>
      <c r="AE326" s="566"/>
      <c r="AF326" s="566"/>
      <c r="AG326" s="566"/>
      <c r="AH326" s="1641">
        <v>11</v>
      </c>
    </row>
    <row s="1641" customFormat="1" customHeight="1" ht="11.549999999999999">
      <c r="A327" s="987"/>
      <c r="B327" s="1636"/>
      <c r="C327" s="1636"/>
      <c r="D327" s="351"/>
      <c r="J327" s="1641"/>
      <c r="K327" s="1641"/>
      <c r="M327" s="1160"/>
      <c r="N327" s="1636"/>
      <c r="O327" s="1636"/>
      <c r="P327" s="1160"/>
      <c r="Q327" s="1160"/>
      <c r="R327" s="1160"/>
      <c r="S327" s="1160"/>
      <c r="T327" s="1636"/>
      <c r="U327" s="1160"/>
      <c r="V327" s="1160"/>
      <c r="W327" s="544"/>
      <c r="X327" s="1160"/>
      <c r="Y327" s="1160"/>
      <c r="Z327" s="1160"/>
      <c r="AA327" s="1160"/>
      <c r="AB327" s="1160"/>
      <c r="AC327" s="1632"/>
      <c r="AD327" s="566"/>
      <c r="AE327" s="566"/>
      <c r="AF327" s="566"/>
      <c r="AG327" s="566"/>
      <c r="AH327" s="1641">
        <v>11</v>
      </c>
    </row>
    <row s="1641" customFormat="1" customHeight="1" ht="11.549999999999999">
      <c r="A328" s="987"/>
      <c r="B328" s="1636"/>
      <c r="C328" s="1636"/>
      <c r="D328" s="351"/>
      <c r="J328" s="1641"/>
      <c r="K328" s="1641"/>
      <c r="M328" s="1160"/>
      <c r="N328" s="1636"/>
      <c r="O328" s="1636"/>
      <c r="P328" s="1160"/>
      <c r="Q328" s="1160"/>
      <c r="R328" s="1160"/>
      <c r="S328" s="1160"/>
      <c r="T328" s="1636"/>
      <c r="U328" s="1160"/>
      <c r="V328" s="1160"/>
      <c r="W328" s="544"/>
      <c r="X328" s="1160"/>
      <c r="Y328" s="1160"/>
      <c r="Z328" s="1160"/>
      <c r="AA328" s="1160"/>
      <c r="AB328" s="1160"/>
      <c r="AC328" s="1632"/>
      <c r="AD328" s="566"/>
      <c r="AE328" s="566"/>
      <c r="AF328" s="566"/>
      <c r="AG328" s="566"/>
      <c r="AH328" s="1641">
        <v>11</v>
      </c>
    </row>
    <row s="1641" customFormat="1" customHeight="1" ht="11.549999999999999">
      <c r="A329" s="987"/>
      <c r="B329" s="1636"/>
      <c r="C329" s="1636"/>
      <c r="D329" s="351"/>
      <c r="J329" s="1641"/>
      <c r="K329" s="1641"/>
      <c r="M329" s="1160"/>
      <c r="N329" s="1636"/>
      <c r="O329" s="1636"/>
      <c r="P329" s="1160"/>
      <c r="Q329" s="1160"/>
      <c r="R329" s="1160"/>
      <c r="S329" s="1160"/>
      <c r="T329" s="1636"/>
      <c r="U329" s="1160"/>
      <c r="V329" s="1160"/>
      <c r="W329" s="544"/>
      <c r="X329" s="1160"/>
      <c r="Y329" s="1160"/>
      <c r="Z329" s="1160"/>
      <c r="AA329" s="1160"/>
      <c r="AB329" s="1160"/>
      <c r="AC329" s="1632"/>
      <c r="AD329" s="566"/>
      <c r="AE329" s="566"/>
      <c r="AF329" s="566"/>
      <c r="AG329" s="566"/>
      <c r="AH329" s="1641">
        <v>11</v>
      </c>
    </row>
    <row customHeight="1" ht="11.549999999999999">
      <c r="J330" s="1635"/>
      <c r="K330" s="1635"/>
      <c r="AH330" s="1631">
        <v>11</v>
      </c>
    </row>
    <row customHeight="1" ht="11.549999999999999">
      <c r="J331" s="1635"/>
      <c r="K331" s="1635"/>
      <c r="AH331" s="1631">
        <v>11</v>
      </c>
    </row>
    <row customHeight="1" ht="11.549999999999999">
      <c r="J332" s="1635"/>
      <c r="K332" s="1635"/>
      <c r="AH332" s="1631">
        <v>11</v>
      </c>
    </row>
    <row customHeight="1" ht="11.549999999999999">
      <c r="A333" s="990"/>
      <c r="B333" s="1631"/>
      <c r="D333" s="1631"/>
      <c r="J333" s="1635"/>
      <c r="K333" s="1635"/>
      <c r="M333" s="1631"/>
      <c r="P333" s="1631"/>
      <c r="Q333" s="1631"/>
      <c r="R333" s="1631"/>
      <c r="S333" s="1631"/>
      <c r="U333" s="1631"/>
      <c r="V333" s="1631"/>
      <c r="W333" s="1631"/>
      <c r="X333" s="1631"/>
      <c r="Y333" s="1631"/>
      <c r="Z333" s="1631"/>
      <c r="AA333" s="1631"/>
      <c r="AB333" s="1631"/>
      <c r="AC333" s="1631"/>
      <c r="AD333" s="1631"/>
      <c r="AE333" s="1631"/>
      <c r="AF333" s="1631"/>
      <c r="AG333" s="1631"/>
      <c r="AH333" s="1631">
        <v>11</v>
      </c>
    </row>
    <row customHeight="1" ht="11.549999999999999">
      <c r="A334" s="990"/>
      <c r="B334" s="1631"/>
      <c r="D334" s="1631"/>
      <c r="J334" s="1635"/>
      <c r="K334" s="1635"/>
      <c r="M334" s="1631"/>
      <c r="P334" s="1631"/>
      <c r="Q334" s="1631"/>
      <c r="R334" s="1631"/>
      <c r="S334" s="1631"/>
      <c r="U334" s="1631"/>
      <c r="V334" s="1631"/>
      <c r="W334" s="1631"/>
      <c r="X334" s="1631"/>
      <c r="Y334" s="1631"/>
      <c r="Z334" s="1631"/>
      <c r="AA334" s="1631"/>
      <c r="AB334" s="1631"/>
      <c r="AC334" s="1631"/>
      <c r="AD334" s="1631"/>
      <c r="AE334" s="1631"/>
      <c r="AF334" s="1631"/>
      <c r="AG334" s="1631"/>
      <c r="AH334" s="1631">
        <v>11</v>
      </c>
    </row>
    <row customHeight="1" ht="11.549999999999999">
      <c r="A335" s="990"/>
      <c r="B335" s="1631"/>
      <c r="D335" s="1631"/>
      <c r="J335" s="1635"/>
      <c r="K335" s="1635"/>
      <c r="M335" s="1631"/>
      <c r="P335" s="1631"/>
      <c r="Q335" s="1631"/>
      <c r="R335" s="1631"/>
      <c r="S335" s="1631"/>
      <c r="U335" s="1631"/>
      <c r="V335" s="1631"/>
      <c r="W335" s="1631"/>
      <c r="X335" s="1631"/>
      <c r="Y335" s="1631"/>
      <c r="Z335" s="1631"/>
      <c r="AA335" s="1631"/>
      <c r="AB335" s="1631"/>
      <c r="AC335" s="1631"/>
      <c r="AD335" s="1631"/>
      <c r="AE335" s="1631"/>
      <c r="AF335" s="1631"/>
      <c r="AG335" s="1631"/>
      <c r="AH335" s="1631">
        <v>11</v>
      </c>
    </row>
    <row customHeight="1" ht="11.549999999999999">
      <c r="A336" s="990"/>
      <c r="B336" s="1631"/>
      <c r="D336" s="1631"/>
      <c r="J336" s="1635"/>
      <c r="K336" s="1635"/>
      <c r="M336" s="1631"/>
      <c r="P336" s="1631"/>
      <c r="Q336" s="1631"/>
      <c r="R336" s="1631"/>
      <c r="S336" s="1631"/>
      <c r="U336" s="1631"/>
      <c r="V336" s="1631"/>
      <c r="W336" s="1631"/>
      <c r="X336" s="1631"/>
      <c r="Y336" s="1631"/>
      <c r="Z336" s="1631"/>
      <c r="AA336" s="1631"/>
      <c r="AB336" s="1631"/>
      <c r="AC336" s="1631"/>
      <c r="AD336" s="1631"/>
      <c r="AE336" s="1631"/>
      <c r="AF336" s="1631"/>
      <c r="AG336" s="1631"/>
      <c r="AH336" s="1631">
        <v>11</v>
      </c>
    </row>
    <row customHeight="1" ht="11.549999999999999">
      <c r="A337" s="990"/>
      <c r="B337" s="1631"/>
      <c r="D337" s="1631"/>
      <c r="J337" s="1635"/>
      <c r="K337" s="1635"/>
      <c r="M337" s="1631"/>
      <c r="P337" s="1631"/>
      <c r="Q337" s="1631"/>
      <c r="R337" s="1631"/>
      <c r="S337" s="1631"/>
      <c r="U337" s="1631"/>
      <c r="V337" s="1631"/>
      <c r="W337" s="1631"/>
      <c r="X337" s="1631"/>
      <c r="Y337" s="1631"/>
      <c r="Z337" s="1631"/>
      <c r="AA337" s="1631"/>
      <c r="AB337" s="1631"/>
      <c r="AC337" s="1631"/>
      <c r="AD337" s="1631"/>
      <c r="AE337" s="1631"/>
      <c r="AF337" s="1631"/>
      <c r="AG337" s="1631"/>
      <c r="AH337" s="1631">
        <v>11</v>
      </c>
    </row>
    <row customHeight="1" ht="11.549999999999999">
      <c r="A338" s="990"/>
      <c r="B338" s="1631"/>
      <c r="D338" s="1631"/>
      <c r="J338" s="1635"/>
      <c r="K338" s="1635"/>
      <c r="M338" s="1631"/>
      <c r="P338" s="1631"/>
      <c r="Q338" s="1631"/>
      <c r="R338" s="1631"/>
      <c r="S338" s="1631"/>
      <c r="U338" s="1631"/>
      <c r="V338" s="1631"/>
      <c r="W338" s="1631"/>
      <c r="X338" s="1631"/>
      <c r="Y338" s="1631"/>
      <c r="Z338" s="1631"/>
      <c r="AA338" s="1631"/>
      <c r="AB338" s="1631"/>
      <c r="AC338" s="1631"/>
      <c r="AD338" s="1631"/>
      <c r="AE338" s="1631"/>
      <c r="AF338" s="1631"/>
      <c r="AG338" s="1631"/>
      <c r="AH338" s="1631">
        <v>11</v>
      </c>
    </row>
    <row customHeight="1" ht="11.549999999999999">
      <c r="A339" s="990"/>
      <c r="B339" s="1631"/>
      <c r="D339" s="1631"/>
      <c r="J339" s="1635"/>
      <c r="K339" s="1635"/>
      <c r="M339" s="1631"/>
      <c r="P339" s="1631"/>
      <c r="Q339" s="1631"/>
      <c r="R339" s="1631"/>
      <c r="S339" s="1631"/>
      <c r="U339" s="1631"/>
      <c r="V339" s="1631"/>
      <c r="W339" s="1631"/>
      <c r="X339" s="1631"/>
      <c r="Y339" s="1631"/>
      <c r="Z339" s="1631"/>
      <c r="AA339" s="1631"/>
      <c r="AB339" s="1631"/>
      <c r="AC339" s="1631"/>
      <c r="AD339" s="1631"/>
      <c r="AE339" s="1631"/>
      <c r="AF339" s="1631"/>
      <c r="AG339" s="1631"/>
      <c r="AH339" s="1631">
        <v>11</v>
      </c>
    </row>
    <row customHeight="1" ht="11.549999999999999">
      <c r="A340" s="990"/>
      <c r="B340" s="1631"/>
      <c r="D340" s="1631"/>
      <c r="J340" s="1635"/>
      <c r="K340" s="1635"/>
      <c r="M340" s="1631"/>
      <c r="P340" s="1631"/>
      <c r="Q340" s="1631"/>
      <c r="R340" s="1631"/>
      <c r="S340" s="1631"/>
      <c r="U340" s="1631"/>
      <c r="V340" s="1631"/>
      <c r="W340" s="1631"/>
      <c r="X340" s="1631"/>
      <c r="Y340" s="1631"/>
      <c r="Z340" s="1631"/>
      <c r="AA340" s="1631"/>
      <c r="AB340" s="1631"/>
      <c r="AC340" s="1631"/>
      <c r="AD340" s="1631"/>
      <c r="AE340" s="1631"/>
      <c r="AF340" s="1631"/>
      <c r="AG340" s="1631"/>
      <c r="AH340" s="1631">
        <v>11</v>
      </c>
    </row>
    <row customHeight="1" ht="11.549999999999999">
      <c r="A341" s="990"/>
      <c r="B341" s="1631"/>
      <c r="D341" s="1631"/>
      <c r="J341" s="1635"/>
      <c r="K341" s="1635"/>
      <c r="M341" s="1631"/>
      <c r="P341" s="1631"/>
      <c r="Q341" s="1631"/>
      <c r="R341" s="1631"/>
      <c r="S341" s="1631"/>
      <c r="U341" s="1631"/>
      <c r="V341" s="1631"/>
      <c r="W341" s="1631"/>
      <c r="X341" s="1631"/>
      <c r="Y341" s="1631"/>
      <c r="Z341" s="1631"/>
      <c r="AA341" s="1631"/>
      <c r="AB341" s="1631"/>
      <c r="AC341" s="1631"/>
      <c r="AD341" s="1631"/>
      <c r="AE341" s="1631"/>
      <c r="AF341" s="1631"/>
      <c r="AG341" s="1631"/>
      <c r="AH341" s="1631">
        <v>11</v>
      </c>
    </row>
    <row customHeight="1" ht="11.549999999999999">
      <c r="A342" s="990"/>
      <c r="B342" s="1631"/>
      <c r="D342" s="1631"/>
      <c r="J342" s="1635"/>
      <c r="K342" s="1635"/>
      <c r="M342" s="1631"/>
      <c r="P342" s="1631"/>
      <c r="Q342" s="1631"/>
      <c r="R342" s="1631"/>
      <c r="S342" s="1631"/>
      <c r="U342" s="1631"/>
      <c r="V342" s="1631"/>
      <c r="W342" s="1631"/>
      <c r="X342" s="1631"/>
      <c r="Y342" s="1631"/>
      <c r="Z342" s="1631"/>
      <c r="AA342" s="1631"/>
      <c r="AB342" s="1631"/>
      <c r="AC342" s="1631"/>
      <c r="AD342" s="1631"/>
      <c r="AE342" s="1631"/>
      <c r="AF342" s="1631"/>
      <c r="AG342" s="1631"/>
      <c r="AH342" s="1631">
        <v>11</v>
      </c>
    </row>
    <row customHeight="1" ht="11.549999999999999">
      <c r="A343" s="990"/>
      <c r="B343" s="1631"/>
      <c r="D343" s="1631"/>
      <c r="J343" s="1635"/>
      <c r="K343" s="1635"/>
      <c r="M343" s="1631"/>
      <c r="P343" s="1631"/>
      <c r="Q343" s="1631"/>
      <c r="R343" s="1631"/>
      <c r="S343" s="1631"/>
      <c r="U343" s="1631"/>
      <c r="V343" s="1631"/>
      <c r="W343" s="1631"/>
      <c r="X343" s="1631"/>
      <c r="Y343" s="1631"/>
      <c r="Z343" s="1631"/>
      <c r="AA343" s="1631"/>
      <c r="AB343" s="1631"/>
      <c r="AC343" s="1631"/>
      <c r="AD343" s="1631"/>
      <c r="AE343" s="1631"/>
      <c r="AF343" s="1631"/>
      <c r="AG343" s="1631"/>
      <c r="AH343" s="1631">
        <v>11</v>
      </c>
    </row>
    <row customHeight="1" ht="11.25" hidden="1">
      <c r="A344" s="987" t="s">
        <v>83</v>
      </c>
      <c r="B344" s="1160">
        <v>0</v>
      </c>
      <c r="C344" s="1636">
        <v>0</v>
      </c>
      <c r="D344" s="1635">
        <v>3</v>
      </c>
      <c r="E344" s="1631">
        <v>7</v>
      </c>
      <c r="F344" s="1631">
        <v>54</v>
      </c>
      <c r="G344" s="1631">
        <v>10</v>
      </c>
      <c r="H344" s="1631">
        <v>0</v>
      </c>
      <c r="I344" s="1631">
        <v>40</v>
      </c>
      <c r="J344" s="1635">
        <v>0</v>
      </c>
      <c r="K344" s="1635">
        <v>0</v>
      </c>
      <c r="L344" s="1631">
        <v>102</v>
      </c>
      <c r="M344" s="1160">
        <v>9</v>
      </c>
      <c r="N344" s="1636">
        <v>5</v>
      </c>
      <c r="O344" s="1636">
        <v>3</v>
      </c>
      <c r="P344" s="1160">
        <v>3</v>
      </c>
      <c r="Q344" s="1160">
        <v>3</v>
      </c>
      <c r="R344" s="1160">
        <v>3</v>
      </c>
      <c r="S344" s="1160">
        <v>3</v>
      </c>
      <c r="T344" s="1636">
        <v>10</v>
      </c>
      <c r="U344" s="1160">
        <v>34</v>
      </c>
      <c r="V344" s="1160">
        <v>9</v>
      </c>
      <c r="W344" s="544">
        <v>8</v>
      </c>
      <c r="X344" s="1160">
        <v>8</v>
      </c>
      <c r="Y344" s="1160">
        <v>8</v>
      </c>
      <c r="Z344" s="1160">
        <v>8</v>
      </c>
      <c r="AA344" s="1160">
        <v>8</v>
      </c>
      <c r="AB344" s="1160">
        <v>8</v>
      </c>
      <c r="AC344" s="1632">
        <v>8</v>
      </c>
      <c r="AD344" s="1632">
        <v>8</v>
      </c>
      <c r="AE344" s="1632">
        <v>8</v>
      </c>
      <c r="AF344" s="1632">
        <v>8</v>
      </c>
      <c r="AG344" s="1632">
        <v>8</v>
      </c>
      <c r="AH344" s="1631">
        <v>11</v>
      </c>
    </row>
  </sheetData>
  <sheetProtection formatColumns="0" formatRows="0" autoFilter="0" sort="0" insertRows="0" insertColumns="1" deleteRows="0" deleteColumns="0"/>
  <mergeCells count="21">
    <mergeCell ref="A149:A171"/>
    <mergeCell ref="E21:I21"/>
    <mergeCell ref="E22:I22"/>
    <mergeCell ref="A33:A58"/>
    <mergeCell ref="B34:B39"/>
    <mergeCell ref="A59:A61"/>
    <mergeCell ref="A85:A86"/>
    <mergeCell ref="A105:A113"/>
    <mergeCell ref="A114:A118"/>
    <mergeCell ref="A119:A121"/>
    <mergeCell ref="A122:A140"/>
    <mergeCell ref="A144:A148"/>
    <mergeCell ref="B2:B7"/>
    <mergeCell ref="L25:L29"/>
    <mergeCell ref="F25:G25"/>
    <mergeCell ref="F26:G26"/>
    <mergeCell ref="F27:G27"/>
    <mergeCell ref="E28:G28"/>
    <mergeCell ref="B40:B45"/>
    <mergeCell ref="B46:B51"/>
    <mergeCell ref="B52:B57"/>
  </mergeCells>
  <dataValidations count="12">
    <dataValidation type="list" allowBlank="1" showInputMessage="1" showErrorMessage="1" errorTitle="Ошибка" error="Выберите значение из списка" prompt="Выберите значение из списка" sqref="H7:K7 H45 H51 H57 I45 I51 I57 J45 J51 J57 K45 K51 K5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K88 J88 I88 H88">
      <formula1>900</formula1>
    </dataValidation>
    <dataValidation type="textLength" operator="lessThanOrEqual" allowBlank="1" showInputMessage="1" showErrorMessage="1" errorTitle="Ошибка" error="Допускается ввод не более 900 символов!" sqref="G4 H34:K34 K39 J39 I39 H39 G42 G48 G54">
      <formula1>900</formula1>
    </dataValidation>
    <dataValidation type="decimal" allowBlank="1" showErrorMessage="1" errorTitle="Ошибка" error="Допускается ввод только неотрицательных чисел!" sqref="H85:K85 H87:K87 H114:K117 H168:K168 H30:K30 H32:K33 H35:K38 H58:K83 H105:K109 H17:K17 H9:K13 H15:K15 H4:K6 H97:K97 H111:K112 H119:K132 H134:K148 H42 I42 J42 K42 H43 I43 J43 K43 H44 I44 J44 K44 H48 I48 J48 K48 H49 I49 J49 K49 H50 I50 J50 K50 H54 I54 J54 K54 H55 I55 J55 K55 H56 I56 J56 K56 H89:H93 I89:I93 J89:J93 K89:K93 H151:H156 I151:I156 J151:J156 K151:K156 H160:H165 I160:I165 J160:J165 K160:K16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46 F52">
      <formula1>kind_of_fuels</formula1>
    </dataValidation>
    <dataValidation type="list" allowBlank="1" showInputMessage="1" showErrorMessage="1" errorTitle="Ошибка" error="Выберите значение из списка" prompt="Выберите значение из списка" sqref="G116">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69:K171 H104:K104">
      <formula1>900</formula1>
    </dataValidation>
    <dataValidation type="decimal" allowBlank="1" showErrorMessage="1" errorTitle="Ошибка" error="Допускается ввод только действительных чисел!" sqref="H95:K96">
      <formula1>-9.99999999999999E+23</formula1>
      <formula2>9.99999999999999E+23</formula2>
    </dataValidation>
    <dataValidation type="decimal" allowBlank="1" showErrorMessage="1" errorTitle="Ошибка" error="Допускается ввод только действительных чисел!" sqref="H158:K158 H149:K149 H167:K167 H98:K103 H133:K133">
      <formula1>-9.99999999999999E+37</formula1>
      <formula2>9.99999999999999E+37</formula2>
    </dataValidation>
    <dataValidation type="decimal" allowBlank="1" showErrorMessage="1" errorTitle="Ошибка" error="Введите значение от 0 до 100%" sqref="H113:K113 H118:K118">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86:K86 H84:K84"/>
  </dataValidations>
  <hyperlinks>
    <hyperlink ref="I104" r:id="rId1" xr:uid="{968E8478-6797-6032-9148-AE37A4160238}"/>
    <hyperlink ref="J104" r:id="rId2" xr:uid="{72DBDF18-3818-0582-CC88-53E0FD9EF874}"/>
    <hyperlink ref="K104" r:id="rId3" xr:uid="{EAF351F5-8F29-2539-0178-678736240118}"/>
    <hyperlink ref="I169" r:id="rId4" xr:uid="{35C99DF7-3C6C-F219-F78D-42056D93C4FA}"/>
    <hyperlink ref="J169" r:id="rId5" xr:uid="{BEB1CAEB-8AC3-5958-24A8-A53B99E2A228}"/>
    <hyperlink ref="K169" r:id="rId6" xr:uid="{C22686E8-1488-DF88-641F-021162096A45}"/>
    <hyperlink ref="I170" r:id="rId7" xr:uid="{157A3C87-2038-B5B6-62C8-2591CE4E4D88}"/>
    <hyperlink ref="J170" r:id="rId8" xr:uid="{91FC8AEE-B3D8-A80A-F09E-30049C667CCF}"/>
    <hyperlink ref="K170" r:id="rId9" xr:uid="{B0B18504-8087-D4D9-6D51-2CE399102124}"/>
    <hyperlink ref="I171" r:id="rId10" xr:uid="{CE029CB8-1238-1C98-EEF8-8327C0782AF8}"/>
    <hyperlink ref="J171" r:id="rId11" xr:uid="{96410CC2-3238-5358-EF88-E52D0C7017FC}"/>
    <hyperlink ref="K171" r:id="rId12" xr:uid="{7230BE81-BF76-FCBD-BF61-90BBC1888E7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C3074-48E8-C218-8CD5-D4AD0053710F}"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6" t="str">
        <f>FHD20_NAME_FORM</f>
        <v>Форма 11. Информация о расходах на капитальный и текущий ремонт основных средств</v>
      </c>
      <c r="F5" s="2256"/>
      <c r="G5" s="2256"/>
      <c r="H5" s="2256"/>
      <c r="I5" s="2256"/>
      <c r="J5" s="2256"/>
      <c r="K5" s="2256"/>
      <c r="L5" s="613"/>
      <c r="M5" s="613"/>
      <c r="CF5" s="505">
        <v>28</v>
      </c>
    </row>
    <row s="1635" customFormat="1" customHeight="1" ht="16.8">
      <c r="A6" s="610"/>
      <c r="B6" s="759"/>
      <c r="C6" s="509"/>
      <c r="D6" s="1058"/>
      <c r="E6" s="2195" t="str">
        <f>IF(org=0,"Не определено",org)</f>
        <v>Муниципальное унитарное предприятие "Невельские коммунальные сети"</v>
      </c>
      <c r="F6" s="2195"/>
      <c r="G6" s="2195"/>
      <c r="H6" s="2195"/>
      <c r="I6" s="2195"/>
      <c r="J6" s="2195"/>
      <c r="K6" s="2195"/>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0" t="s">
        <v>305</v>
      </c>
      <c r="F9" s="2121"/>
      <c r="G9" s="2121"/>
      <c r="H9" s="2121"/>
      <c r="I9" s="2121"/>
      <c r="J9" s="2121"/>
      <c r="K9" s="2121"/>
      <c r="L9" s="2121"/>
      <c r="M9" s="2121"/>
      <c r="N9" s="2121"/>
      <c r="O9" s="2121"/>
      <c r="P9" s="2121"/>
      <c r="Q9" s="2121"/>
      <c r="R9" s="2122"/>
      <c r="S9" s="2146" t="s">
        <v>306</v>
      </c>
      <c r="T9" s="334"/>
      <c r="CF9" s="505">
        <v>19</v>
      </c>
    </row>
    <row customHeight="1" ht="48.29999999999999">
      <c r="D10" s="551" t="s">
        <v>89</v>
      </c>
      <c r="E10" s="2146" t="s">
        <v>89</v>
      </c>
      <c r="F10" s="2146"/>
      <c r="G10" s="521" t="s">
        <v>307</v>
      </c>
      <c r="H10" s="2146" t="s">
        <v>89</v>
      </c>
      <c r="I10" s="2146"/>
      <c r="J10" s="521" t="s">
        <v>626</v>
      </c>
      <c r="K10" s="521" t="s">
        <v>627</v>
      </c>
      <c r="L10" s="2146" t="s">
        <v>89</v>
      </c>
      <c r="M10" s="2146"/>
      <c r="N10" s="521" t="s">
        <v>628</v>
      </c>
      <c r="O10" s="521" t="s">
        <v>629</v>
      </c>
      <c r="P10" s="521" t="s">
        <v>630</v>
      </c>
      <c r="Q10" s="521" t="s">
        <v>631</v>
      </c>
      <c r="R10" s="521" t="s">
        <v>632</v>
      </c>
      <c r="S10" s="2146"/>
      <c r="T10" s="334"/>
      <c r="CF10" s="505">
        <v>46</v>
      </c>
    </row>
    <row s="1642" customFormat="1" customHeight="1" ht="15">
      <c r="A11" s="1052"/>
      <c r="D11" s="1025" t="s">
        <v>110</v>
      </c>
      <c r="E11" s="1025"/>
      <c r="F11" s="1025" t="s">
        <v>111</v>
      </c>
      <c r="G11" s="1025" t="s">
        <v>91</v>
      </c>
      <c r="H11" s="1025"/>
      <c r="I11" s="1025" t="s">
        <v>92</v>
      </c>
      <c r="J11" s="1025" t="s">
        <v>100</v>
      </c>
      <c r="K11" s="1025" t="s">
        <v>93</v>
      </c>
      <c r="L11" s="1025"/>
      <c r="M11" s="1025" t="s">
        <v>94</v>
      </c>
      <c r="N11" s="1025" t="s">
        <v>112</v>
      </c>
      <c r="O11" s="1025" t="s">
        <v>155</v>
      </c>
      <c r="P11" s="1025" t="s">
        <v>156</v>
      </c>
      <c r="Q11" s="1025" t="s">
        <v>157</v>
      </c>
      <c r="R11" s="1025" t="s">
        <v>158</v>
      </c>
      <c r="S11" s="1025" t="s">
        <v>159</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118</v>
      </c>
      <c r="B14" s="624"/>
      <c r="C14" s="624"/>
      <c r="D14" s="2399" t="s">
        <v>110</v>
      </c>
      <c r="E14" s="2396" t="s">
        <v>106</v>
      </c>
      <c r="F14" s="2397"/>
      <c r="G14" s="2398"/>
      <c r="H14" s="2402" t="str">
        <f>IF(A14="","",INDEX(DIFFERENTIATION_UNMERGE_VD,MATCH(A14,DIFFERENTIATION_ID_DIFF,0)))</f>
        <v>Производство тепловой энергии. Некомбинированная выработка</v>
      </c>
      <c r="I14" s="2402"/>
      <c r="J14" s="2402"/>
      <c r="K14" s="2402"/>
      <c r="L14" s="2402"/>
      <c r="M14" s="2402"/>
      <c r="N14" s="2402"/>
      <c r="O14" s="2402"/>
      <c r="P14" s="2402"/>
      <c r="Q14" s="2402"/>
      <c r="R14" s="2402"/>
      <c r="S14" s="719"/>
      <c r="T14" s="716"/>
      <c r="U14" s="625"/>
      <c r="V14" s="625"/>
      <c r="W14" s="626"/>
      <c r="X14" s="626"/>
      <c r="Y14" s="626"/>
      <c r="Z14" s="626"/>
      <c r="AA14" s="627"/>
      <c r="AB14" s="628"/>
      <c r="AC14" s="2394"/>
      <c r="AD14" s="629"/>
      <c r="AE14" s="630" t="s">
        <v>22</v>
      </c>
      <c r="AF14" s="630"/>
      <c r="AG14" s="631" t="s">
        <v>633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400"/>
      <c r="E15" s="2396" t="s">
        <v>567</v>
      </c>
      <c r="F15" s="2397"/>
      <c r="G15" s="2398"/>
      <c r="H15" s="2402" t="str">
        <f>IF(A14="","",INDEX(DIFFERENTIATION_UNMERGE_AREA,MATCH(A14,DIFFERENTIATION_ID_DIFF,0)))</f>
        <v>Территория 1</v>
      </c>
      <c r="I15" s="2402"/>
      <c r="J15" s="2402"/>
      <c r="K15" s="2402"/>
      <c r="L15" s="2402"/>
      <c r="M15" s="2402"/>
      <c r="N15" s="2402"/>
      <c r="O15" s="2402"/>
      <c r="P15" s="2402"/>
      <c r="Q15" s="2402"/>
      <c r="R15" s="2402"/>
      <c r="S15" s="719"/>
      <c r="T15" s="716"/>
      <c r="U15" s="625"/>
      <c r="V15" s="625"/>
      <c r="W15" s="626"/>
      <c r="X15" s="626"/>
      <c r="Y15" s="626"/>
      <c r="Z15" s="626"/>
      <c r="AA15" s="627"/>
      <c r="AB15" s="628"/>
      <c r="AC15" s="239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400"/>
      <c r="E16" s="2396" t="s">
        <v>568</v>
      </c>
      <c r="F16" s="2397"/>
      <c r="G16" s="2398"/>
      <c r="H16" s="2402" t="str">
        <f>IF(A14="","",INDEX(DIFFERENTIATION_UNMERGE_SYSTEM,MATCH(A14,DIFFERENTIATION_ID_DIFF,0)))</f>
        <v>Теплоснабжение за исключением сел Горнозаводск и Шебунино</v>
      </c>
      <c r="I16" s="2402"/>
      <c r="J16" s="2402"/>
      <c r="K16" s="2402"/>
      <c r="L16" s="2402"/>
      <c r="M16" s="2402"/>
      <c r="N16" s="2402"/>
      <c r="O16" s="2402"/>
      <c r="P16" s="2402"/>
      <c r="Q16" s="2402"/>
      <c r="R16" s="2402"/>
      <c r="S16" s="719"/>
      <c r="T16" s="716"/>
      <c r="U16" s="625"/>
      <c r="V16" s="625"/>
      <c r="W16" s="626"/>
      <c r="X16" s="626"/>
      <c r="Y16" s="626"/>
      <c r="Z16" s="626"/>
      <c r="AA16" s="627"/>
      <c r="AB16" s="628"/>
      <c r="AC16" s="239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400"/>
      <c r="E17" s="2395" t="s">
        <v>634</v>
      </c>
      <c r="F17" s="2395"/>
      <c r="G17" s="2395"/>
      <c r="H17" s="2395"/>
      <c r="I17" s="2395"/>
      <c r="J17" s="2395"/>
      <c r="K17" s="2395"/>
      <c r="L17" s="2395"/>
      <c r="M17" s="2395"/>
      <c r="N17" s="2395"/>
      <c r="O17" s="2395"/>
      <c r="P17" s="2395"/>
      <c r="Q17" s="558">
        <f>SUMIF(T18:T19,"i",Q18:Q19)</f>
        <v>0</v>
      </c>
      <c r="R17" s="1017"/>
      <c r="S17" s="897" t="s">
        <v>635</v>
      </c>
      <c r="T17" s="717" t="s">
        <v>636</v>
      </c>
      <c r="U17" s="2393">
        <v>1</v>
      </c>
      <c r="V17" s="2393" t="str">
        <f>INDEX(B_FHD_FLAG_INDEX_1,1,MATCH(A14,B_FHD_FLAG_DIFFERENTIATION,0))</f>
        <v>отсутствует</v>
      </c>
      <c r="W17" s="417"/>
      <c r="X17" s="417"/>
      <c r="Y17" s="417"/>
      <c r="Z17" s="417"/>
      <c r="AA17" s="511"/>
      <c r="AB17" s="417"/>
      <c r="AC17" s="239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400"/>
      <c r="E18" s="635"/>
      <c r="F18" s="635">
        <v>0</v>
      </c>
      <c r="G18" s="635"/>
      <c r="H18" s="635"/>
      <c r="I18" s="635"/>
      <c r="J18" s="635"/>
      <c r="K18" s="635"/>
      <c r="L18" s="635"/>
      <c r="M18" s="635"/>
      <c r="N18" s="635"/>
      <c r="O18" s="635"/>
      <c r="P18" s="635"/>
      <c r="Q18" s="635"/>
      <c r="R18" s="635"/>
      <c r="S18" s="636"/>
      <c r="T18" s="718"/>
      <c r="U18" s="2393"/>
      <c r="V18" s="2393"/>
      <c r="W18" s="511"/>
      <c r="X18" s="511"/>
      <c r="Y18" s="511"/>
      <c r="Z18" s="511"/>
      <c r="AA18" s="511"/>
      <c r="AB18" s="417"/>
      <c r="AC18" s="239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47" customFormat="1" customHeight="1" ht="11.25">
      <c r="A19" s="633"/>
      <c r="B19" s="417"/>
      <c r="C19" s="412"/>
      <c r="D19" s="2400"/>
      <c r="E19" s="649" t="s">
        <v>22</v>
      </c>
      <c r="F19" s="650" t="s">
        <v>22</v>
      </c>
      <c r="G19" s="650" t="s">
        <v>22</v>
      </c>
      <c r="H19" s="651" t="s">
        <v>22</v>
      </c>
      <c r="I19" s="651"/>
      <c r="J19" s="651"/>
      <c r="K19" s="651"/>
      <c r="L19" s="651"/>
      <c r="M19" s="651"/>
      <c r="N19" s="651"/>
      <c r="O19" s="651"/>
      <c r="P19" s="651"/>
      <c r="Q19" s="651"/>
      <c r="R19" s="652"/>
      <c r="S19" s="1020"/>
      <c r="T19" s="718"/>
      <c r="U19" s="2393"/>
      <c r="V19" s="2393"/>
      <c r="W19" s="417"/>
      <c r="X19" s="417"/>
      <c r="Y19" s="417"/>
      <c r="Z19" s="417"/>
      <c r="AA19" s="511"/>
      <c r="AB19" s="417"/>
      <c r="AC19" s="2394"/>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47" customFormat="1" customHeight="1" ht="22.5">
      <c r="A20" s="633"/>
      <c r="B20" s="417"/>
      <c r="C20" s="412"/>
      <c r="D20" s="2400"/>
      <c r="E20" s="2395" t="s">
        <v>637</v>
      </c>
      <c r="F20" s="2395"/>
      <c r="G20" s="2395"/>
      <c r="H20" s="2395"/>
      <c r="I20" s="2395"/>
      <c r="J20" s="2395"/>
      <c r="K20" s="2395"/>
      <c r="L20" s="2395"/>
      <c r="M20" s="2395"/>
      <c r="N20" s="2395"/>
      <c r="O20" s="2395"/>
      <c r="P20" s="2395"/>
      <c r="Q20" s="558">
        <f>SUMIF(T21:T22,"i",Q21:Q22)</f>
        <v>0</v>
      </c>
      <c r="R20" s="1017"/>
      <c r="S20" s="709" t="s">
        <v>638</v>
      </c>
      <c r="T20" s="717" t="s">
        <v>636</v>
      </c>
      <c r="U20" s="2393">
        <v>2</v>
      </c>
      <c r="V20" s="2393"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47" customFormat="1" customHeight="1" ht="11.25" hidden="1">
      <c r="A21" s="708"/>
      <c r="B21" s="511"/>
      <c r="C21" s="511"/>
      <c r="D21" s="2400"/>
      <c r="E21" s="635"/>
      <c r="F21" s="635">
        <v>0</v>
      </c>
      <c r="G21" s="635"/>
      <c r="H21" s="635"/>
      <c r="I21" s="635"/>
      <c r="J21" s="635"/>
      <c r="K21" s="635"/>
      <c r="L21" s="635"/>
      <c r="M21" s="635"/>
      <c r="N21" s="635"/>
      <c r="O21" s="635"/>
      <c r="P21" s="635"/>
      <c r="Q21" s="635"/>
      <c r="R21" s="635"/>
      <c r="S21" s="636"/>
      <c r="T21" s="718"/>
      <c r="U21" s="2393"/>
      <c r="V21" s="2393"/>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47" customFormat="1" customHeight="1" ht="11.25">
      <c r="A22" s="633"/>
      <c r="B22" s="417"/>
      <c r="C22" s="412"/>
      <c r="D22" s="2401"/>
      <c r="E22" s="649" t="s">
        <v>22</v>
      </c>
      <c r="F22" s="650" t="s">
        <v>22</v>
      </c>
      <c r="G22" s="650" t="s">
        <v>22</v>
      </c>
      <c r="H22" s="651" t="s">
        <v>22</v>
      </c>
      <c r="I22" s="651"/>
      <c r="J22" s="651"/>
      <c r="K22" s="651"/>
      <c r="L22" s="651"/>
      <c r="M22" s="651"/>
      <c r="N22" s="651"/>
      <c r="O22" s="651"/>
      <c r="P22" s="651"/>
      <c r="Q22" s="651"/>
      <c r="R22" s="652"/>
      <c r="S22" s="1020"/>
      <c r="T22" s="718"/>
      <c r="U22" s="2393"/>
      <c r="V22" s="2393"/>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123</v>
      </c>
      <c r="B23" s="624"/>
      <c r="C23" s="624" t="s">
        <v>22</v>
      </c>
      <c r="D23" s="2597" t="s">
        <v>157</v>
      </c>
      <c r="E23" s="2396" t="s">
        <v>106</v>
      </c>
      <c r="F23" s="2397"/>
      <c r="G23" s="2398"/>
      <c r="H23" s="2402" t="str">
        <f>IF(A23="","",INDEX(DIFFERENTIATION_UNMERGE_VD,MATCH(A23,DIFFERENTIATION_ID_DIFF,0)))</f>
        <v>Производство тепловой энергии. Некомбинированная выработка</v>
      </c>
      <c r="I23" s="2402"/>
      <c r="J23" s="2402"/>
      <c r="K23" s="2402"/>
      <c r="L23" s="2402"/>
      <c r="M23" s="2402"/>
      <c r="N23" s="2402"/>
      <c r="O23" s="2402"/>
      <c r="P23" s="2402"/>
      <c r="Q23" s="2402"/>
      <c r="R23" s="2402"/>
      <c r="S23" s="719"/>
      <c r="T23" s="716"/>
      <c r="U23" s="625"/>
      <c r="V23" s="625"/>
      <c r="W23" s="626"/>
      <c r="X23" s="626"/>
      <c r="Y23" s="626"/>
      <c r="Z23" s="626"/>
      <c r="AA23" s="627"/>
      <c r="AB23" s="628"/>
      <c r="AC23" s="2394"/>
      <c r="AD23" s="629"/>
      <c r="AE23" s="630" t="s">
        <v>22</v>
      </c>
      <c r="AF23" s="630"/>
      <c r="AG23" s="631" t="s">
        <v>633</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47"/>
    </row>
    <row customHeight="1" ht="15" hidden="1">
      <c r="A24" s="623"/>
      <c r="B24" s="624"/>
      <c r="C24" s="624"/>
      <c r="D24" s="2598"/>
      <c r="E24" s="2396" t="s">
        <v>567</v>
      </c>
      <c r="F24" s="2397"/>
      <c r="G24" s="2398"/>
      <c r="H24" s="2402" t="str">
        <f>IF(A23="","",INDEX(DIFFERENTIATION_UNMERGE_AREA,MATCH(A23,DIFFERENTIATION_ID_DIFF,0)))</f>
        <v>Территория 1</v>
      </c>
      <c r="I24" s="2402"/>
      <c r="J24" s="2402"/>
      <c r="K24" s="2402"/>
      <c r="L24" s="2402"/>
      <c r="M24" s="2402"/>
      <c r="N24" s="2402"/>
      <c r="O24" s="2402"/>
      <c r="P24" s="2402"/>
      <c r="Q24" s="2402"/>
      <c r="R24" s="2402"/>
      <c r="S24" s="719"/>
      <c r="T24" s="716"/>
      <c r="U24" s="625"/>
      <c r="V24" s="625"/>
      <c r="W24" s="626"/>
      <c r="X24" s="626"/>
      <c r="Y24" s="626"/>
      <c r="Z24" s="626"/>
      <c r="AA24" s="627"/>
      <c r="AB24" s="628"/>
      <c r="AC24" s="2394"/>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47"/>
    </row>
    <row customHeight="1" ht="15" hidden="1">
      <c r="A25" s="623"/>
      <c r="B25" s="624"/>
      <c r="C25" s="624"/>
      <c r="D25" s="2598"/>
      <c r="E25" s="2396" t="s">
        <v>568</v>
      </c>
      <c r="F25" s="2397"/>
      <c r="G25" s="2398"/>
      <c r="H25" s="2402" t="str">
        <f>IF(A23="","",INDEX(DIFFERENTIATION_UNMERGE_SYSTEM,MATCH(A23,DIFFERENTIATION_ID_DIFF,0)))</f>
        <v>Теплоснабжение с.Горнозаводск</v>
      </c>
      <c r="I25" s="2402"/>
      <c r="J25" s="2402"/>
      <c r="K25" s="2402"/>
      <c r="L25" s="2402"/>
      <c r="M25" s="2402"/>
      <c r="N25" s="2402"/>
      <c r="O25" s="2402"/>
      <c r="P25" s="2402"/>
      <c r="Q25" s="2402"/>
      <c r="R25" s="2402"/>
      <c r="S25" s="719"/>
      <c r="T25" s="716"/>
      <c r="U25" s="625"/>
      <c r="V25" s="625"/>
      <c r="W25" s="626"/>
      <c r="X25" s="626"/>
      <c r="Y25" s="626"/>
      <c r="Z25" s="626"/>
      <c r="AA25" s="627"/>
      <c r="AB25" s="628"/>
      <c r="AC25" s="2394"/>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47"/>
    </row>
    <row customHeight="1" ht="24.75" hidden="1">
      <c r="A26" s="1805"/>
      <c r="B26" s="1160"/>
      <c r="C26" s="412"/>
      <c r="D26" s="2598"/>
      <c r="E26" s="2395" t="s">
        <v>634</v>
      </c>
      <c r="F26" s="2395"/>
      <c r="G26" s="2395"/>
      <c r="H26" s="2395"/>
      <c r="I26" s="2395"/>
      <c r="J26" s="2395"/>
      <c r="K26" s="2395"/>
      <c r="L26" s="2395"/>
      <c r="M26" s="2395"/>
      <c r="N26" s="2395"/>
      <c r="O26" s="2395"/>
      <c r="P26" s="2395"/>
      <c r="Q26" s="558">
        <f>SUMIF(T27:T28,"i",Q27:Q28)</f>
        <v>0</v>
      </c>
      <c r="R26" s="1017"/>
      <c r="S26" s="1797" t="s">
        <v>635</v>
      </c>
      <c r="T26" s="717" t="s">
        <v>636</v>
      </c>
      <c r="U26" s="2393">
        <v>1</v>
      </c>
      <c r="V26" s="2393" t="str">
        <f>INDEX(B_FHD_FLAG_INDEX_1,1,MATCH(A23,B_FHD_FLAG_DIFFERENTIATION,0))</f>
        <v>отсутствует</v>
      </c>
      <c r="W26" s="1160"/>
      <c r="X26" s="1160"/>
      <c r="Y26" s="1160"/>
      <c r="Z26" s="1160"/>
      <c r="AA26" s="1636"/>
      <c r="AB26" s="1160"/>
      <c r="AC26" s="2394"/>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47"/>
    </row>
    <row customHeight="1" ht="11.25" hidden="1">
      <c r="A27" s="1792"/>
      <c r="B27" s="1636"/>
      <c r="C27" s="1636"/>
      <c r="D27" s="2598"/>
      <c r="E27" s="635"/>
      <c r="F27" s="635">
        <v>0</v>
      </c>
      <c r="G27" s="635"/>
      <c r="H27" s="635"/>
      <c r="I27" s="635"/>
      <c r="J27" s="635"/>
      <c r="K27" s="635"/>
      <c r="L27" s="635"/>
      <c r="M27" s="635"/>
      <c r="N27" s="635"/>
      <c r="O27" s="635"/>
      <c r="P27" s="635"/>
      <c r="Q27" s="635"/>
      <c r="R27" s="635"/>
      <c r="S27" s="636"/>
      <c r="T27" s="718"/>
      <c r="U27" s="2393"/>
      <c r="V27" s="2393"/>
      <c r="W27" s="1636"/>
      <c r="X27" s="1636"/>
      <c r="Y27" s="1636"/>
      <c r="Z27" s="1636"/>
      <c r="AA27" s="1636"/>
      <c r="AB27" s="1160"/>
      <c r="AC27" s="2394"/>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47"/>
    </row>
    <row customHeight="1" ht="11.25" hidden="1">
      <c r="A28" s="1805"/>
      <c r="B28" s="1160"/>
      <c r="C28" s="412"/>
      <c r="D28" s="2598"/>
      <c r="E28" s="649" t="s">
        <v>22</v>
      </c>
      <c r="F28" s="1168" t="s">
        <v>22</v>
      </c>
      <c r="G28" s="1168" t="s">
        <v>639</v>
      </c>
      <c r="H28" s="651" t="s">
        <v>22</v>
      </c>
      <c r="I28" s="651"/>
      <c r="J28" s="651"/>
      <c r="K28" s="651"/>
      <c r="L28" s="651"/>
      <c r="M28" s="651"/>
      <c r="N28" s="651"/>
      <c r="O28" s="651"/>
      <c r="P28" s="651"/>
      <c r="Q28" s="651"/>
      <c r="R28" s="652"/>
      <c r="S28" s="653"/>
      <c r="T28" s="718"/>
      <c r="U28" s="2393"/>
      <c r="V28" s="2393"/>
      <c r="W28" s="1160"/>
      <c r="X28" s="1160"/>
      <c r="Y28" s="1160"/>
      <c r="Z28" s="1160"/>
      <c r="AA28" s="1636"/>
      <c r="AB28" s="1160"/>
      <c r="AC28" s="2394"/>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47"/>
    </row>
    <row customHeight="1" ht="5.25" hidden="1">
      <c r="A29" s="1792"/>
      <c r="B29" s="1636"/>
      <c r="C29" s="1636"/>
      <c r="D29" s="2598"/>
      <c r="E29" s="1039"/>
      <c r="F29" s="1039"/>
      <c r="G29" s="1039"/>
      <c r="H29" s="1039"/>
      <c r="I29" s="1039"/>
      <c r="J29" s="1039"/>
      <c r="K29" s="1039"/>
      <c r="L29" s="1039"/>
      <c r="M29" s="1039"/>
      <c r="N29" s="1039"/>
      <c r="O29" s="1039"/>
      <c r="P29" s="1039"/>
      <c r="Q29" s="1040"/>
      <c r="R29" s="1041"/>
      <c r="S29" s="1042"/>
      <c r="T29" s="717" t="s">
        <v>636</v>
      </c>
      <c r="U29" s="2393">
        <v>1</v>
      </c>
      <c r="V29" s="2393" t="s">
        <v>584</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2"/>
      <c r="B30" s="1636"/>
      <c r="C30" s="1636"/>
      <c r="D30" s="2598"/>
      <c r="E30" s="635"/>
      <c r="F30" s="635"/>
      <c r="G30" s="635"/>
      <c r="H30" s="635"/>
      <c r="I30" s="635"/>
      <c r="J30" s="635"/>
      <c r="K30" s="635"/>
      <c r="L30" s="635"/>
      <c r="M30" s="635"/>
      <c r="N30" s="635"/>
      <c r="O30" s="635"/>
      <c r="P30" s="635"/>
      <c r="Q30" s="635"/>
      <c r="R30" s="635"/>
      <c r="S30" s="636"/>
      <c r="T30" s="718"/>
      <c r="U30" s="2393"/>
      <c r="V30" s="2393"/>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2"/>
      <c r="B31" s="1636"/>
      <c r="C31" s="1636"/>
      <c r="D31" s="2599"/>
      <c r="E31" s="1043"/>
      <c r="F31" s="1044"/>
      <c r="G31" s="1044"/>
      <c r="H31" s="1045"/>
      <c r="I31" s="1045"/>
      <c r="J31" s="1045"/>
      <c r="K31" s="1045"/>
      <c r="L31" s="1045"/>
      <c r="M31" s="1045"/>
      <c r="N31" s="1045"/>
      <c r="O31" s="1045"/>
      <c r="P31" s="1045"/>
      <c r="Q31" s="1045"/>
      <c r="R31" s="946"/>
      <c r="S31" s="1046"/>
      <c r="T31" s="718"/>
      <c r="U31" s="2393"/>
      <c r="V31" s="2393"/>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125</v>
      </c>
      <c r="B32" s="624"/>
      <c r="C32" s="624" t="s">
        <v>22</v>
      </c>
      <c r="D32" s="2597" t="s">
        <v>640</v>
      </c>
      <c r="E32" s="2396" t="s">
        <v>106</v>
      </c>
      <c r="F32" s="2397"/>
      <c r="G32" s="2398"/>
      <c r="H32" s="2402" t="str">
        <f>IF(A32="","",INDEX(DIFFERENTIATION_UNMERGE_VD,MATCH(A32,DIFFERENTIATION_ID_DIFF,0)))</f>
        <v>Производство тепловой энергии. Некомбинированная выработка</v>
      </c>
      <c r="I32" s="2402"/>
      <c r="J32" s="2402"/>
      <c r="K32" s="2402"/>
      <c r="L32" s="2402"/>
      <c r="M32" s="2402"/>
      <c r="N32" s="2402"/>
      <c r="O32" s="2402"/>
      <c r="P32" s="2402"/>
      <c r="Q32" s="2402"/>
      <c r="R32" s="2402"/>
      <c r="S32" s="719"/>
      <c r="T32" s="716"/>
      <c r="U32" s="625"/>
      <c r="V32" s="625"/>
      <c r="W32" s="626"/>
      <c r="X32" s="626"/>
      <c r="Y32" s="626"/>
      <c r="Z32" s="626"/>
      <c r="AA32" s="627"/>
      <c r="AB32" s="628"/>
      <c r="AC32" s="2394"/>
      <c r="AD32" s="629"/>
      <c r="AE32" s="630" t="s">
        <v>22</v>
      </c>
      <c r="AF32" s="630"/>
      <c r="AG32" s="631" t="s">
        <v>633</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47"/>
    </row>
    <row customHeight="1" ht="15" hidden="1">
      <c r="A33" s="623"/>
      <c r="B33" s="624"/>
      <c r="C33" s="624"/>
      <c r="D33" s="2598"/>
      <c r="E33" s="2396" t="s">
        <v>567</v>
      </c>
      <c r="F33" s="2397"/>
      <c r="G33" s="2398"/>
      <c r="H33" s="2402" t="str">
        <f>IF(A32="","",INDEX(DIFFERENTIATION_UNMERGE_AREA,MATCH(A32,DIFFERENTIATION_ID_DIFF,0)))</f>
        <v>Территория 1</v>
      </c>
      <c r="I33" s="2402"/>
      <c r="J33" s="2402"/>
      <c r="K33" s="2402"/>
      <c r="L33" s="2402"/>
      <c r="M33" s="2402"/>
      <c r="N33" s="2402"/>
      <c r="O33" s="2402"/>
      <c r="P33" s="2402"/>
      <c r="Q33" s="2402"/>
      <c r="R33" s="2402"/>
      <c r="S33" s="719"/>
      <c r="T33" s="716"/>
      <c r="U33" s="625"/>
      <c r="V33" s="625"/>
      <c r="W33" s="626"/>
      <c r="X33" s="626"/>
      <c r="Y33" s="626"/>
      <c r="Z33" s="626"/>
      <c r="AA33" s="627"/>
      <c r="AB33" s="628"/>
      <c r="AC33" s="2394"/>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47"/>
    </row>
    <row customHeight="1" ht="15" hidden="1">
      <c r="A34" s="623"/>
      <c r="B34" s="624"/>
      <c r="C34" s="624"/>
      <c r="D34" s="2598"/>
      <c r="E34" s="2396" t="s">
        <v>568</v>
      </c>
      <c r="F34" s="2397"/>
      <c r="G34" s="2398"/>
      <c r="H34" s="2402" t="str">
        <f>IF(A32="","",INDEX(DIFFERENTIATION_UNMERGE_SYSTEM,MATCH(A32,DIFFERENTIATION_ID_DIFF,0)))</f>
        <v>Теплоснабжение с.Шебунино</v>
      </c>
      <c r="I34" s="2402"/>
      <c r="J34" s="2402"/>
      <c r="K34" s="2402"/>
      <c r="L34" s="2402"/>
      <c r="M34" s="2402"/>
      <c r="N34" s="2402"/>
      <c r="O34" s="2402"/>
      <c r="P34" s="2402"/>
      <c r="Q34" s="2402"/>
      <c r="R34" s="2402"/>
      <c r="S34" s="719"/>
      <c r="T34" s="716"/>
      <c r="U34" s="625"/>
      <c r="V34" s="625"/>
      <c r="W34" s="626"/>
      <c r="X34" s="626"/>
      <c r="Y34" s="626"/>
      <c r="Z34" s="626"/>
      <c r="AA34" s="627"/>
      <c r="AB34" s="628"/>
      <c r="AC34" s="2394"/>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47"/>
    </row>
    <row customHeight="1" ht="24.75" hidden="1">
      <c r="A35" s="1805"/>
      <c r="B35" s="1160"/>
      <c r="C35" s="412"/>
      <c r="D35" s="2598"/>
      <c r="E35" s="2395" t="s">
        <v>634</v>
      </c>
      <c r="F35" s="2395"/>
      <c r="G35" s="2395"/>
      <c r="H35" s="2395"/>
      <c r="I35" s="2395"/>
      <c r="J35" s="2395"/>
      <c r="K35" s="2395"/>
      <c r="L35" s="2395"/>
      <c r="M35" s="2395"/>
      <c r="N35" s="2395"/>
      <c r="O35" s="2395"/>
      <c r="P35" s="2395"/>
      <c r="Q35" s="558">
        <f>SUMIF(T36:T37,"i",Q36:Q37)</f>
        <v>0</v>
      </c>
      <c r="R35" s="1017"/>
      <c r="S35" s="1797" t="s">
        <v>635</v>
      </c>
      <c r="T35" s="717" t="s">
        <v>636</v>
      </c>
      <c r="U35" s="2393">
        <v>1</v>
      </c>
      <c r="V35" s="2393" t="str">
        <f>INDEX(B_FHD_FLAG_INDEX_1,1,MATCH(A32,B_FHD_FLAG_DIFFERENTIATION,0))</f>
        <v>отсутствует</v>
      </c>
      <c r="W35" s="1160"/>
      <c r="X35" s="1160"/>
      <c r="Y35" s="1160"/>
      <c r="Z35" s="1160"/>
      <c r="AA35" s="1636"/>
      <c r="AB35" s="1160"/>
      <c r="AC35" s="2394"/>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47"/>
    </row>
    <row customHeight="1" ht="11.25" hidden="1">
      <c r="A36" s="1792"/>
      <c r="B36" s="1636"/>
      <c r="C36" s="1636"/>
      <c r="D36" s="2598"/>
      <c r="E36" s="635"/>
      <c r="F36" s="635">
        <v>0</v>
      </c>
      <c r="G36" s="635"/>
      <c r="H36" s="635"/>
      <c r="I36" s="635"/>
      <c r="J36" s="635"/>
      <c r="K36" s="635"/>
      <c r="L36" s="635"/>
      <c r="M36" s="635"/>
      <c r="N36" s="635"/>
      <c r="O36" s="635"/>
      <c r="P36" s="635"/>
      <c r="Q36" s="635"/>
      <c r="R36" s="635"/>
      <c r="S36" s="636"/>
      <c r="T36" s="718"/>
      <c r="U36" s="2393"/>
      <c r="V36" s="2393"/>
      <c r="W36" s="1636"/>
      <c r="X36" s="1636"/>
      <c r="Y36" s="1636"/>
      <c r="Z36" s="1636"/>
      <c r="AA36" s="1636"/>
      <c r="AB36" s="1160"/>
      <c r="AC36" s="2394"/>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47"/>
    </row>
    <row customHeight="1" ht="11.25" hidden="1">
      <c r="A37" s="1805"/>
      <c r="B37" s="1160"/>
      <c r="C37" s="412"/>
      <c r="D37" s="2598"/>
      <c r="E37" s="649" t="s">
        <v>22</v>
      </c>
      <c r="F37" s="1168" t="s">
        <v>22</v>
      </c>
      <c r="G37" s="1168" t="s">
        <v>639</v>
      </c>
      <c r="H37" s="651" t="s">
        <v>22</v>
      </c>
      <c r="I37" s="651"/>
      <c r="J37" s="651"/>
      <c r="K37" s="651"/>
      <c r="L37" s="651"/>
      <c r="M37" s="651"/>
      <c r="N37" s="651"/>
      <c r="O37" s="651"/>
      <c r="P37" s="651"/>
      <c r="Q37" s="651"/>
      <c r="R37" s="652"/>
      <c r="S37" s="653"/>
      <c r="T37" s="718"/>
      <c r="U37" s="2393"/>
      <c r="V37" s="2393"/>
      <c r="W37" s="1160"/>
      <c r="X37" s="1160"/>
      <c r="Y37" s="1160"/>
      <c r="Z37" s="1160"/>
      <c r="AA37" s="1636"/>
      <c r="AB37" s="1160"/>
      <c r="AC37" s="2394"/>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47"/>
    </row>
    <row customHeight="1" ht="5.25" hidden="1">
      <c r="A38" s="1792"/>
      <c r="B38" s="1636"/>
      <c r="C38" s="1636"/>
      <c r="D38" s="2598"/>
      <c r="E38" s="1039"/>
      <c r="F38" s="1039"/>
      <c r="G38" s="1039"/>
      <c r="H38" s="1039"/>
      <c r="I38" s="1039"/>
      <c r="J38" s="1039"/>
      <c r="K38" s="1039"/>
      <c r="L38" s="1039"/>
      <c r="M38" s="1039"/>
      <c r="N38" s="1039"/>
      <c r="O38" s="1039"/>
      <c r="P38" s="1039"/>
      <c r="Q38" s="1040"/>
      <c r="R38" s="1041"/>
      <c r="S38" s="1042"/>
      <c r="T38" s="717" t="s">
        <v>636</v>
      </c>
      <c r="U38" s="2393">
        <v>1</v>
      </c>
      <c r="V38" s="2393" t="s">
        <v>584</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2"/>
      <c r="B39" s="1636"/>
      <c r="C39" s="1636"/>
      <c r="D39" s="2598"/>
      <c r="E39" s="635"/>
      <c r="F39" s="635"/>
      <c r="G39" s="635"/>
      <c r="H39" s="635"/>
      <c r="I39" s="635"/>
      <c r="J39" s="635"/>
      <c r="K39" s="635"/>
      <c r="L39" s="635"/>
      <c r="M39" s="635"/>
      <c r="N39" s="635"/>
      <c r="O39" s="635"/>
      <c r="P39" s="635"/>
      <c r="Q39" s="635"/>
      <c r="R39" s="635"/>
      <c r="S39" s="636"/>
      <c r="T39" s="718"/>
      <c r="U39" s="2393"/>
      <c r="V39" s="2393"/>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2"/>
      <c r="B40" s="1636"/>
      <c r="C40" s="1636"/>
      <c r="D40" s="2599"/>
      <c r="E40" s="1043"/>
      <c r="F40" s="1044"/>
      <c r="G40" s="1044"/>
      <c r="H40" s="1045"/>
      <c r="I40" s="1045"/>
      <c r="J40" s="1045"/>
      <c r="K40" s="1045"/>
      <c r="L40" s="1045"/>
      <c r="M40" s="1045"/>
      <c r="N40" s="1045"/>
      <c r="O40" s="1045"/>
      <c r="P40" s="1045"/>
      <c r="Q40" s="1045"/>
      <c r="R40" s="946"/>
      <c r="S40" s="1046"/>
      <c r="T40" s="718"/>
      <c r="U40" s="2393"/>
      <c r="V40" s="2393"/>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403"/>
      <c r="F45" s="2403"/>
      <c r="G45" s="2403"/>
      <c r="H45" s="2403"/>
      <c r="I45" s="2403"/>
      <c r="J45" s="2403"/>
      <c r="K45" s="2403"/>
      <c r="L45" s="2403"/>
      <c r="M45" s="2403"/>
      <c r="N45" s="2403"/>
      <c r="O45" s="2403"/>
      <c r="P45" s="2403"/>
      <c r="Q45" s="2403"/>
      <c r="R45" s="2403"/>
      <c r="CF45" s="505">
        <v>11</v>
      </c>
    </row>
    <row customHeight="1" ht="11.549999999999999">
      <c r="F46" s="758"/>
      <c r="G46" s="758"/>
      <c r="CF46" s="505">
        <v>11</v>
      </c>
    </row>
    <row customHeight="1" ht="11.25" hidden="1">
      <c r="A47" s="610" t="s">
        <v>83</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C7DF8-EDC7-9846-9868-B85F9BC2CA7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0" t="s">
        <v>641</v>
      </c>
      <c r="C2" s="2050" t="s">
        <v>642</v>
      </c>
      <c r="D2" s="2049" t="s">
        <v>643</v>
      </c>
      <c r="E2" s="2053">
        <f>RIGHT(I2,LEN(I2)-SEARCH("#",SUBSTITUTE(I2,".","#",LEN(I2)-LEN(SUBSTITUTE(I2,".","")))))</f>
      </c>
      <c r="F2" s="2055">
        <f>J2</f>
        <v>0</v>
      </c>
      <c r="G2" s="1636"/>
      <c r="H2" s="2056"/>
      <c r="I2" s="2046"/>
      <c r="J2" s="540"/>
      <c r="K2" s="2016" t="s">
        <v>559</v>
      </c>
      <c r="L2" s="751"/>
      <c r="M2" s="751"/>
      <c r="N2" s="751"/>
      <c r="O2" s="751"/>
      <c r="P2" s="543"/>
      <c r="Q2" s="1525" t="s">
        <v>560</v>
      </c>
      <c r="R2" s="543"/>
      <c r="S2" s="1636"/>
      <c r="T2" s="1636"/>
      <c r="Y2" s="1636"/>
      <c r="AB2" s="544"/>
      <c r="AH2" s="1632"/>
      <c r="AI2" s="1632"/>
      <c r="AJ2" s="1632"/>
      <c r="AK2" s="1632"/>
      <c r="AL2" s="1632"/>
      <c r="AM2" s="1366">
        <v>0</v>
      </c>
    </row>
    <row customHeight="1" ht="11.25" hidden="1">
      <c r="E3" s="2048" t="s">
        <v>644</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26" t="s">
        <v>645</v>
      </c>
      <c r="J6" s="2326"/>
      <c r="K6" s="2326"/>
      <c r="L6" s="2326"/>
      <c r="M6" s="2326"/>
      <c r="N6" s="2326"/>
      <c r="O6" s="2326"/>
      <c r="Q6" s="556"/>
      <c r="AM6" s="1631">
        <v>55</v>
      </c>
    </row>
    <row customHeight="1" ht="25.2">
      <c r="I7" s="2268" t="str">
        <f>IF(org=0,"Не определено",org)</f>
        <v>Муниципальное унитарное предприятие "Невельские коммунальные сети"</v>
      </c>
      <c r="J7" s="2268"/>
      <c r="K7" s="2268"/>
      <c r="L7" s="2268"/>
      <c r="M7" s="2268"/>
      <c r="N7" s="2268"/>
      <c r="O7" s="2268"/>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118</v>
      </c>
      <c r="N9" s="889" t="s">
        <v>123</v>
      </c>
      <c r="O9" s="889" t="s">
        <v>125</v>
      </c>
      <c r="AM9" s="1636">
        <v>1</v>
      </c>
    </row>
    <row customHeight="1" ht="11.549999999999999">
      <c r="E10" s="2047" t="s">
        <v>646</v>
      </c>
      <c r="I10" s="711"/>
      <c r="J10" s="2386" t="s">
        <v>106</v>
      </c>
      <c r="K10" s="2387"/>
      <c r="L10" s="2026" t="str">
        <f>IF(L9="","",INDEX(DIFFERENTIATION_UNMERGE_VD,MATCH(L9,DIFFERENTIATION_ID_DIFF,0)))</f>
        <v/>
      </c>
      <c r="M10" s="2026" t="str">
        <f>IF(M9="","",INDEX(DIFFERENTIATION_UNMERGE_VD,MATCH(M9,DIFFERENTIATION_ID_DIFF,0)))</f>
        <v>Производство тепловой энергии. Некомбинированная выработка</v>
      </c>
      <c r="N10" s="2412" t="str">
        <f>IF(N9="","",INDEX(DIFFERENTIATION_UNMERGE_VD,MATCH(N9,DIFFERENTIATION_ID_DIFF,0)))</f>
        <v>Производство тепловой энергии. Некомбинированная выработка</v>
      </c>
      <c r="O10" s="2412" t="str">
        <f>IF(O9="","",INDEX(DIFFERENTIATION_UNMERGE_VD,MATCH(O9,DIFFERENTIATION_ID_DIFF,0)))</f>
        <v>Производство тепловой энергии. Некомбинированная выработка</v>
      </c>
      <c r="Q10" s="2146" t="s">
        <v>306</v>
      </c>
      <c r="AM10" s="1631">
        <v>11</v>
      </c>
    </row>
    <row customHeight="1" ht="11.549999999999999">
      <c r="E11" s="2047" t="s">
        <v>647</v>
      </c>
      <c r="I11" s="711"/>
      <c r="J11" s="2386" t="s">
        <v>567</v>
      </c>
      <c r="K11" s="2387"/>
      <c r="L11" s="2026" t="str">
        <f>IF(L9="","",INDEX(DIFFERENTIATION_UNMERGE_AREA,MATCH(L9,DIFFERENTIATION_ID_DIFF,0)))</f>
        <v/>
      </c>
      <c r="M11" s="2026" t="str">
        <f>IF(M9="","",INDEX(DIFFERENTIATION_UNMERGE_AREA,MATCH(M9,DIFFERENTIATION_ID_DIFF,0)))</f>
        <v>Территория 1</v>
      </c>
      <c r="N11" s="2412" t="str">
        <f>IF(N9="","",INDEX(DIFFERENTIATION_UNMERGE_AREA,MATCH(N9,DIFFERENTIATION_ID_DIFF,0)))</f>
        <v>Территория 1</v>
      </c>
      <c r="O11" s="2412" t="str">
        <f>IF(O9="","",INDEX(DIFFERENTIATION_UNMERGE_AREA,MATCH(O9,DIFFERENTIATION_ID_DIFF,0)))</f>
        <v>Территория 1</v>
      </c>
      <c r="Q11" s="2146"/>
      <c r="AM11" s="1631">
        <v>11</v>
      </c>
    </row>
    <row customHeight="1" ht="11.549999999999999">
      <c r="E12" s="2047" t="s">
        <v>648</v>
      </c>
      <c r="I12" s="1662"/>
      <c r="J12" s="2386" t="s">
        <v>568</v>
      </c>
      <c r="K12" s="2387"/>
      <c r="L12" s="2026" t="str">
        <f>IF(L9="","",INDEX(DIFFERENTIATION_UNMERGE_SYSTEM,MATCH(L9,DIFFERENTIATION_ID_DIFF,0)))</f>
        <v/>
      </c>
      <c r="M12" s="2026" t="str">
        <f>IF(M9="","",INDEX(DIFFERENTIATION_UNMERGE_SYSTEM,MATCH(M9,DIFFERENTIATION_ID_DIFF,0)))</f>
        <v>Теплоснабжение за исключением сел Горнозаводск и Шебунино</v>
      </c>
      <c r="N12" s="2412" t="str">
        <f>IF(N9="","",INDEX(DIFFERENTIATION_UNMERGE_SYSTEM,MATCH(N9,DIFFERENTIATION_ID_DIFF,0)))</f>
        <v>Теплоснабжение с.Горнозаводск</v>
      </c>
      <c r="O12" s="2412" t="str">
        <f>IF(O9="","",INDEX(DIFFERENTIATION_UNMERGE_SYSTEM,MATCH(O9,DIFFERENTIATION_ID_DIFF,0)))</f>
        <v>Теплоснабжение с.Шебунино</v>
      </c>
      <c r="Q12" s="2146"/>
      <c r="AM12" s="1631">
        <v>11</v>
      </c>
    </row>
    <row customHeight="1" ht="11.549999999999999">
      <c r="E13" s="2047" t="s">
        <v>649</v>
      </c>
      <c r="F13" s="2047" t="s">
        <v>650</v>
      </c>
      <c r="I13" s="2388" t="s">
        <v>305</v>
      </c>
      <c r="J13" s="2389"/>
      <c r="K13" s="2389"/>
      <c r="L13" s="2024"/>
      <c r="M13" s="2064"/>
      <c r="N13" s="2386"/>
      <c r="O13" s="2386"/>
      <c r="Q13" s="2146"/>
      <c r="AM13" s="1631">
        <v>11</v>
      </c>
    </row>
    <row customHeight="1" ht="24">
      <c r="I14" s="2017" t="s">
        <v>89</v>
      </c>
      <c r="J14" s="2017" t="s">
        <v>307</v>
      </c>
      <c r="K14" s="2017" t="s">
        <v>569</v>
      </c>
      <c r="L14" s="2057" t="s">
        <v>308</v>
      </c>
      <c r="M14" s="2058" t="s">
        <v>308</v>
      </c>
      <c r="N14" s="2281" t="s">
        <v>308</v>
      </c>
      <c r="O14" s="2281" t="s">
        <v>308</v>
      </c>
      <c r="Q14" s="2146"/>
      <c r="AM14" s="1631">
        <v>23</v>
      </c>
    </row>
    <row customHeight="1" ht="24">
      <c r="A15" s="2051"/>
      <c r="B15" s="2050" t="s">
        <v>651</v>
      </c>
      <c r="C15" s="2050" t="s">
        <v>652</v>
      </c>
      <c r="D15" s="2049" t="s">
        <v>653</v>
      </c>
      <c r="E15" s="2053" t="s">
        <v>654</v>
      </c>
      <c r="F15" s="2053" t="s">
        <v>654</v>
      </c>
      <c r="G15" s="1636" t="s">
        <v>594</v>
      </c>
      <c r="H15" s="2018"/>
      <c r="I15" s="1630">
        <v>1</v>
      </c>
      <c r="J15" s="2019" t="s">
        <v>655</v>
      </c>
      <c r="K15" s="2017" t="s">
        <v>311</v>
      </c>
      <c r="L15" s="662"/>
      <c r="M15" s="818"/>
      <c r="N15" s="662"/>
      <c r="O15" s="662"/>
      <c r="P15" s="543" t="s">
        <v>656</v>
      </c>
      <c r="Q15" s="1525" t="s">
        <v>657</v>
      </c>
      <c r="R15" s="543" t="s">
        <v>656</v>
      </c>
      <c r="AM15" s="1631">
        <v>23</v>
      </c>
    </row>
    <row customHeight="1" ht="35.699999999999996">
      <c r="A16" s="2051"/>
      <c r="B16" s="2050" t="s">
        <v>658</v>
      </c>
      <c r="C16" s="2050" t="s">
        <v>659</v>
      </c>
      <c r="D16" s="2049" t="s">
        <v>643</v>
      </c>
      <c r="E16" s="2053" t="s">
        <v>654</v>
      </c>
      <c r="F16" s="2053" t="s">
        <v>654</v>
      </c>
      <c r="H16" s="2018"/>
      <c r="I16" s="1629">
        <v>2</v>
      </c>
      <c r="J16" s="2060" t="s">
        <v>660</v>
      </c>
      <c r="K16" s="2059" t="s">
        <v>559</v>
      </c>
      <c r="L16" s="2065"/>
      <c r="M16" s="1675"/>
      <c r="N16" s="2065"/>
      <c r="O16" s="2065"/>
      <c r="P16" s="543" t="s">
        <v>656</v>
      </c>
      <c r="Q16" s="1525" t="s">
        <v>661</v>
      </c>
      <c r="R16" s="543" t="s">
        <v>656</v>
      </c>
      <c r="AM16" s="1631">
        <v>34</v>
      </c>
    </row>
    <row s="1642" customFormat="1" customHeight="1" ht="17.25" hidden="1">
      <c r="A17" s="1167"/>
      <c r="B17" s="1167"/>
      <c r="C17" s="1167"/>
      <c r="D17" s="1167"/>
      <c r="E17" s="1167"/>
      <c r="H17" s="1324"/>
      <c r="I17" s="1013" t="s">
        <v>662</v>
      </c>
      <c r="J17" s="991"/>
      <c r="K17" s="1013"/>
      <c r="L17" s="992"/>
      <c r="M17" s="992"/>
      <c r="N17" s="992"/>
      <c r="O17" s="992"/>
      <c r="Q17" s="1385"/>
      <c r="AM17" s="1636">
        <v>1</v>
      </c>
    </row>
    <row s="1366" customFormat="1" customHeight="1" ht="24">
      <c r="A18" s="987"/>
      <c r="B18" s="987"/>
      <c r="C18" s="987"/>
      <c r="D18" s="987"/>
      <c r="E18" s="987"/>
      <c r="G18" s="1636"/>
      <c r="H18" s="1633"/>
      <c r="I18" s="570"/>
      <c r="J18" s="571" t="s">
        <v>608</v>
      </c>
      <c r="K18" s="572"/>
      <c r="L18" s="2067"/>
      <c r="M18" s="573"/>
      <c r="N18" s="2670"/>
      <c r="O18" s="2671"/>
      <c r="P18" s="543"/>
      <c r="Q18" s="1525" t="s">
        <v>609</v>
      </c>
      <c r="R18" s="543"/>
      <c r="S18" s="1636"/>
      <c r="T18" s="1636"/>
      <c r="Y18" s="1636"/>
      <c r="AB18" s="544"/>
      <c r="AH18" s="1632"/>
      <c r="AI18" s="1632"/>
      <c r="AJ18" s="1632"/>
      <c r="AK18" s="1632"/>
      <c r="AL18" s="1632"/>
      <c r="AM18" s="1366">
        <v>23</v>
      </c>
    </row>
    <row customHeight="1" ht="19.95">
      <c r="A19" s="2051"/>
      <c r="B19" s="2050" t="s">
        <v>663</v>
      </c>
      <c r="C19" s="2050" t="s">
        <v>664</v>
      </c>
      <c r="D19" s="2049" t="s">
        <v>643</v>
      </c>
      <c r="E19" s="2053" t="s">
        <v>654</v>
      </c>
      <c r="F19" s="2053" t="s">
        <v>654</v>
      </c>
      <c r="H19" s="2018"/>
      <c r="I19" s="1664">
        <v>3</v>
      </c>
      <c r="J19" s="2019" t="s">
        <v>664</v>
      </c>
      <c r="K19" s="2015" t="s">
        <v>559</v>
      </c>
      <c r="L19" s="727"/>
      <c r="M19" s="557"/>
      <c r="N19" s="727"/>
      <c r="O19" s="727"/>
      <c r="P19" s="543"/>
      <c r="Q19" s="1525" t="s">
        <v>665</v>
      </c>
      <c r="R19" s="543"/>
      <c r="AM19" s="1631">
        <v>19</v>
      </c>
    </row>
    <row customHeight="1" ht="77.7">
      <c r="A20" s="2051"/>
      <c r="B20" s="2050" t="s">
        <v>666</v>
      </c>
      <c r="C20" s="2050" t="s">
        <v>667</v>
      </c>
      <c r="D20" s="2049" t="s">
        <v>643</v>
      </c>
      <c r="E20" s="2053" t="s">
        <v>654</v>
      </c>
      <c r="F20" s="2053" t="s">
        <v>654</v>
      </c>
      <c r="H20" s="2018"/>
      <c r="I20" s="1664">
        <v>4</v>
      </c>
      <c r="J20" s="2019" t="s">
        <v>668</v>
      </c>
      <c r="K20" s="2015" t="s">
        <v>599</v>
      </c>
      <c r="L20" s="727"/>
      <c r="M20" s="557"/>
      <c r="N20" s="727"/>
      <c r="O20" s="727"/>
      <c r="P20" s="543"/>
      <c r="Q20" s="1525"/>
      <c r="R20" s="543"/>
      <c r="AM20" s="1631">
        <v>74</v>
      </c>
    </row>
    <row customHeight="1" ht="35.699999999999996">
      <c r="A21" s="2051"/>
      <c r="B21" s="2050" t="s">
        <v>669</v>
      </c>
      <c r="C21" s="2050" t="s">
        <v>670</v>
      </c>
      <c r="D21" s="2049" t="s">
        <v>643</v>
      </c>
      <c r="E21" s="2053" t="s">
        <v>654</v>
      </c>
      <c r="F21" s="2053" t="s">
        <v>654</v>
      </c>
      <c r="H21" s="2018"/>
      <c r="I21" s="1664">
        <v>5</v>
      </c>
      <c r="J21" s="2019" t="s">
        <v>671</v>
      </c>
      <c r="K21" s="2015" t="s">
        <v>599</v>
      </c>
      <c r="L21" s="727"/>
      <c r="M21" s="557"/>
      <c r="N21" s="727"/>
      <c r="O21" s="727"/>
      <c r="P21" s="543"/>
      <c r="Q21" s="1525" t="s">
        <v>665</v>
      </c>
      <c r="R21" s="543"/>
      <c r="AM21" s="1631">
        <v>34</v>
      </c>
    </row>
    <row customHeight="1" ht="48.29999999999999">
      <c r="A22" s="2051"/>
      <c r="B22" s="2050" t="s">
        <v>672</v>
      </c>
      <c r="C22" s="2050" t="s">
        <v>673</v>
      </c>
      <c r="D22" s="2049" t="s">
        <v>643</v>
      </c>
      <c r="E22" s="2053" t="s">
        <v>654</v>
      </c>
      <c r="F22" s="2053" t="s">
        <v>654</v>
      </c>
      <c r="H22" s="2018"/>
      <c r="I22" s="1664">
        <v>6</v>
      </c>
      <c r="J22" s="2019" t="s">
        <v>674</v>
      </c>
      <c r="K22" s="2015" t="s">
        <v>599</v>
      </c>
      <c r="L22" s="727"/>
      <c r="M22" s="557"/>
      <c r="N22" s="727"/>
      <c r="O22" s="727"/>
      <c r="P22" s="543"/>
      <c r="Q22" s="1525" t="s">
        <v>675</v>
      </c>
      <c r="R22" s="543"/>
      <c r="AM22" s="1631">
        <v>46</v>
      </c>
    </row>
    <row customHeight="1" ht="19.95">
      <c r="A23" s="2051"/>
      <c r="B23" s="2050" t="s">
        <v>676</v>
      </c>
      <c r="C23" s="2050" t="s">
        <v>677</v>
      </c>
      <c r="D23" s="2049" t="s">
        <v>643</v>
      </c>
      <c r="E23" s="2053" t="s">
        <v>654</v>
      </c>
      <c r="F23" s="2053" t="s">
        <v>654</v>
      </c>
      <c r="H23" s="2018"/>
      <c r="I23" s="1664" t="s">
        <v>678</v>
      </c>
      <c r="J23" s="1524" t="s">
        <v>679</v>
      </c>
      <c r="K23" s="2015" t="s">
        <v>599</v>
      </c>
      <c r="L23" s="727"/>
      <c r="M23" s="557"/>
      <c r="N23" s="727"/>
      <c r="O23" s="727"/>
      <c r="P23" s="543"/>
      <c r="Q23" s="1525" t="s">
        <v>665</v>
      </c>
      <c r="R23" s="543"/>
      <c r="AM23" s="1631">
        <v>19</v>
      </c>
    </row>
    <row customHeight="1" ht="19.95">
      <c r="A24" s="2051"/>
      <c r="B24" s="2050" t="s">
        <v>680</v>
      </c>
      <c r="C24" s="2050" t="s">
        <v>681</v>
      </c>
      <c r="D24" s="2049" t="s">
        <v>643</v>
      </c>
      <c r="E24" s="2053" t="s">
        <v>654</v>
      </c>
      <c r="F24" s="2053" t="s">
        <v>654</v>
      </c>
      <c r="H24" s="2018"/>
      <c r="I24" s="1664" t="s">
        <v>682</v>
      </c>
      <c r="J24" s="1524" t="s">
        <v>683</v>
      </c>
      <c r="K24" s="2015" t="s">
        <v>599</v>
      </c>
      <c r="L24" s="727"/>
      <c r="M24" s="557"/>
      <c r="N24" s="727"/>
      <c r="O24" s="727"/>
      <c r="P24" s="543"/>
      <c r="Q24" s="1525"/>
      <c r="R24" s="543"/>
      <c r="AM24" s="1631">
        <v>19</v>
      </c>
    </row>
    <row customHeight="1" ht="24">
      <c r="A25" s="2051"/>
      <c r="B25" s="2050" t="s">
        <v>684</v>
      </c>
      <c r="C25" s="2050" t="s">
        <v>685</v>
      </c>
      <c r="D25" s="2049" t="s">
        <v>643</v>
      </c>
      <c r="E25" s="2053" t="s">
        <v>654</v>
      </c>
      <c r="F25" s="2053" t="s">
        <v>654</v>
      </c>
      <c r="H25" s="2018"/>
      <c r="I25" s="1664" t="s">
        <v>686</v>
      </c>
      <c r="J25" s="1524" t="s">
        <v>687</v>
      </c>
      <c r="K25" s="2015" t="s">
        <v>599</v>
      </c>
      <c r="L25" s="727"/>
      <c r="M25" s="557"/>
      <c r="N25" s="727"/>
      <c r="O25" s="727"/>
      <c r="P25" s="543"/>
      <c r="Q25" s="1525"/>
      <c r="R25" s="543"/>
      <c r="AM25" s="1631">
        <v>23</v>
      </c>
    </row>
    <row customHeight="1" ht="24">
      <c r="A26" s="2051"/>
      <c r="B26" s="2050" t="s">
        <v>688</v>
      </c>
      <c r="C26" s="2050" t="s">
        <v>689</v>
      </c>
      <c r="D26" s="2049" t="s">
        <v>643</v>
      </c>
      <c r="E26" s="2053" t="s">
        <v>654</v>
      </c>
      <c r="F26" s="2053" t="s">
        <v>654</v>
      </c>
      <c r="H26" s="2018"/>
      <c r="I26" s="1664">
        <v>7</v>
      </c>
      <c r="J26" s="2019" t="s">
        <v>689</v>
      </c>
      <c r="K26" s="2015" t="s">
        <v>690</v>
      </c>
      <c r="L26" s="727"/>
      <c r="M26" s="557"/>
      <c r="N26" s="727"/>
      <c r="O26" s="727"/>
      <c r="P26" s="543"/>
      <c r="Q26" s="1525"/>
      <c r="R26" s="543"/>
      <c r="AM26" s="1631">
        <v>23</v>
      </c>
    </row>
    <row customHeight="1" ht="24">
      <c r="A27" s="2051"/>
      <c r="B27" s="2050" t="s">
        <v>691</v>
      </c>
      <c r="C27" s="2050" t="s">
        <v>692</v>
      </c>
      <c r="D27" s="2049" t="s">
        <v>643</v>
      </c>
      <c r="E27" s="2053" t="s">
        <v>654</v>
      </c>
      <c r="F27" s="2053" t="s">
        <v>654</v>
      </c>
      <c r="H27" s="2018"/>
      <c r="I27" s="1664">
        <v>8</v>
      </c>
      <c r="J27" s="2019" t="s">
        <v>692</v>
      </c>
      <c r="K27" s="2015" t="s">
        <v>610</v>
      </c>
      <c r="L27" s="727"/>
      <c r="M27" s="557"/>
      <c r="N27" s="727"/>
      <c r="O27" s="727"/>
      <c r="P27" s="543"/>
      <c r="Q27" s="1525"/>
      <c r="R27" s="543"/>
      <c r="AM27" s="1631">
        <v>23</v>
      </c>
    </row>
    <row customHeight="1" ht="35.699999999999996">
      <c r="A28" s="2051"/>
      <c r="B28" s="2050" t="s">
        <v>693</v>
      </c>
      <c r="C28" s="2050" t="s">
        <v>694</v>
      </c>
      <c r="D28" s="2049" t="s">
        <v>643</v>
      </c>
      <c r="E28" s="2053" t="s">
        <v>654</v>
      </c>
      <c r="F28" s="2053" t="s">
        <v>654</v>
      </c>
      <c r="H28" s="2018"/>
      <c r="I28" s="1674">
        <v>9</v>
      </c>
      <c r="J28" s="2019" t="s">
        <v>695</v>
      </c>
      <c r="K28" s="2015" t="s">
        <v>563</v>
      </c>
      <c r="L28" s="727"/>
      <c r="M28" s="557"/>
      <c r="N28" s="727"/>
      <c r="O28" s="727"/>
      <c r="P28" s="543"/>
      <c r="Q28" s="1525"/>
      <c r="R28" s="543"/>
      <c r="AM28" s="1631">
        <v>34</v>
      </c>
    </row>
    <row customHeight="1" ht="35.699999999999996">
      <c r="A29" s="2051"/>
      <c r="B29" s="2050" t="s">
        <v>696</v>
      </c>
      <c r="C29" s="2050" t="s">
        <v>697</v>
      </c>
      <c r="D29" s="2049" t="s">
        <v>643</v>
      </c>
      <c r="E29" s="2053" t="s">
        <v>654</v>
      </c>
      <c r="F29" s="2053" t="s">
        <v>654</v>
      </c>
      <c r="H29" s="2018"/>
      <c r="I29" s="1674">
        <v>10</v>
      </c>
      <c r="J29" s="2019" t="s">
        <v>698</v>
      </c>
      <c r="K29" s="2015" t="s">
        <v>563</v>
      </c>
      <c r="L29" s="727"/>
      <c r="M29" s="557"/>
      <c r="N29" s="727"/>
      <c r="O29" s="727"/>
      <c r="P29" s="543"/>
      <c r="Q29" s="1525"/>
      <c r="R29" s="543"/>
      <c r="AM29" s="1631">
        <v>34</v>
      </c>
    </row>
    <row customHeight="1" ht="24">
      <c r="A30" s="2051"/>
      <c r="B30" s="2050" t="s">
        <v>699</v>
      </c>
      <c r="C30" s="2050" t="s">
        <v>700</v>
      </c>
      <c r="D30" s="2049" t="s">
        <v>643</v>
      </c>
      <c r="E30" s="2053" t="s">
        <v>654</v>
      </c>
      <c r="F30" s="2053" t="s">
        <v>654</v>
      </c>
      <c r="H30" s="2018"/>
      <c r="I30" s="1674">
        <v>11</v>
      </c>
      <c r="J30" s="2019" t="s">
        <v>700</v>
      </c>
      <c r="K30" s="2015" t="s">
        <v>611</v>
      </c>
      <c r="L30" s="2066"/>
      <c r="M30" s="1621"/>
      <c r="N30" s="2066"/>
      <c r="O30" s="2066"/>
      <c r="P30" s="543"/>
      <c r="Q30" s="1525"/>
      <c r="R30" s="543"/>
      <c r="AM30" s="1631">
        <v>23</v>
      </c>
    </row>
    <row customHeight="1" ht="24">
      <c r="A31" s="2051"/>
      <c r="B31" s="2050" t="s">
        <v>701</v>
      </c>
      <c r="C31" s="2050" t="s">
        <v>702</v>
      </c>
      <c r="D31" s="2049" t="s">
        <v>643</v>
      </c>
      <c r="E31" s="2053" t="s">
        <v>654</v>
      </c>
      <c r="F31" s="2053" t="s">
        <v>654</v>
      </c>
      <c r="H31" s="2018"/>
      <c r="I31" s="1674">
        <v>12</v>
      </c>
      <c r="J31" s="2019" t="s">
        <v>702</v>
      </c>
      <c r="K31" s="2015" t="s">
        <v>611</v>
      </c>
      <c r="L31" s="2066"/>
      <c r="M31" s="1621"/>
      <c r="N31" s="2066"/>
      <c r="O31" s="2066"/>
      <c r="P31" s="543"/>
      <c r="Q31" s="1525"/>
      <c r="R31" s="543"/>
      <c r="AM31" s="1631">
        <v>23</v>
      </c>
    </row>
    <row customHeight="1" ht="48.29999999999999">
      <c r="A32" s="2051"/>
      <c r="B32" s="2050" t="s">
        <v>703</v>
      </c>
      <c r="C32" s="2050" t="s">
        <v>704</v>
      </c>
      <c r="D32" s="2049" t="s">
        <v>643</v>
      </c>
      <c r="E32" s="2053" t="s">
        <v>654</v>
      </c>
      <c r="F32" s="2053" t="s">
        <v>654</v>
      </c>
      <c r="H32" s="2018"/>
      <c r="I32" s="1674">
        <v>13</v>
      </c>
      <c r="J32" s="2019" t="s">
        <v>705</v>
      </c>
      <c r="K32" s="2015" t="s">
        <v>623</v>
      </c>
      <c r="L32" s="727"/>
      <c r="M32" s="557"/>
      <c r="N32" s="727"/>
      <c r="O32" s="727"/>
      <c r="P32" s="543"/>
      <c r="Q32" s="1525" t="s">
        <v>665</v>
      </c>
      <c r="R32" s="543"/>
      <c r="AM32" s="1631">
        <v>46</v>
      </c>
    </row>
    <row s="1366" customFormat="1" customHeight="1" ht="48.29999999999999">
      <c r="A33" s="2051"/>
      <c r="B33" s="2050" t="s">
        <v>706</v>
      </c>
      <c r="C33" s="2050" t="s">
        <v>707</v>
      </c>
      <c r="D33" s="2049" t="s">
        <v>643</v>
      </c>
      <c r="E33" s="2053" t="s">
        <v>654</v>
      </c>
      <c r="F33" s="2053" t="s">
        <v>654</v>
      </c>
      <c r="G33" s="1636"/>
      <c r="H33" s="2018"/>
      <c r="I33" s="1674">
        <v>14</v>
      </c>
      <c r="J33" s="2031" t="s">
        <v>708</v>
      </c>
      <c r="K33" s="2020" t="s">
        <v>709</v>
      </c>
      <c r="L33" s="727"/>
      <c r="M33" s="557"/>
      <c r="N33" s="727"/>
      <c r="O33" s="727"/>
      <c r="P33" s="543"/>
      <c r="Q33" s="1525" t="s">
        <v>665</v>
      </c>
      <c r="R33" s="543"/>
      <c r="S33" s="1636"/>
      <c r="T33" s="1636"/>
      <c r="Y33" s="1636"/>
      <c r="AB33" s="544"/>
      <c r="AH33" s="1632"/>
      <c r="AI33" s="1632"/>
      <c r="AJ33" s="1632"/>
      <c r="AK33" s="1632"/>
      <c r="AL33" s="1632"/>
      <c r="AM33" s="1366">
        <v>46</v>
      </c>
    </row>
    <row customHeight="1" ht="108">
      <c r="A34" s="2051"/>
      <c r="B34" s="2050" t="s">
        <v>710</v>
      </c>
      <c r="C34" s="2050" t="s">
        <v>711</v>
      </c>
      <c r="D34" s="2049" t="s">
        <v>653</v>
      </c>
      <c r="E34" s="2053" t="s">
        <v>654</v>
      </c>
      <c r="F34" s="2053" t="s">
        <v>654</v>
      </c>
      <c r="G34" s="1636" t="s">
        <v>594</v>
      </c>
      <c r="H34" s="2018"/>
      <c r="I34" s="2029">
        <v>15</v>
      </c>
      <c r="J34" s="2030" t="s">
        <v>712</v>
      </c>
      <c r="K34" s="2015" t="s">
        <v>311</v>
      </c>
      <c r="L34" s="385"/>
      <c r="M34" s="1164"/>
      <c r="N34" s="385"/>
      <c r="O34" s="385"/>
      <c r="P34" s="543"/>
      <c r="Q34" s="1525" t="s">
        <v>657</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83</v>
      </c>
      <c r="B204" s="987" t="s">
        <v>156</v>
      </c>
      <c r="C204" s="987" t="s">
        <v>156</v>
      </c>
      <c r="D204" s="987" t="s">
        <v>156</v>
      </c>
      <c r="E204" s="987" t="s">
        <v>156</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8B561-81D8-9659-005A-4094375EB3A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6"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713</v>
      </c>
      <c r="C2" s="2050" t="s">
        <v>714</v>
      </c>
      <c r="D2" s="2049" t="s">
        <v>653</v>
      </c>
      <c r="E2" s="2055">
        <f>I2-3</f>
        <v>-3</v>
      </c>
      <c r="F2" s="2055">
        <f>J2</f>
        <v>0</v>
      </c>
      <c r="H2" s="1729" t="s">
        <v>121</v>
      </c>
      <c r="I2" s="2021"/>
      <c r="J2" s="1681"/>
      <c r="K2" s="2015"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67" t="s">
        <v>715</v>
      </c>
      <c r="J5" s="2267"/>
      <c r="K5" s="2267"/>
      <c r="L5" s="2267"/>
      <c r="M5" s="266"/>
      <c r="W5" s="1631">
        <v>48</v>
      </c>
    </row>
    <row customHeight="1" ht="18">
      <c r="H6" s="376"/>
      <c r="I6" s="2268" t="str">
        <f>IF(org=0,"Не определено",org)</f>
        <v>Муниципальное унитарное предприятие "Невельские коммунальные сети"</v>
      </c>
      <c r="J6" s="2268"/>
      <c r="K6" s="2268"/>
      <c r="L6" s="2268"/>
      <c r="M6" s="266"/>
      <c r="W6" s="1631">
        <v>17</v>
      </c>
    </row>
    <row customHeight="1" ht="14.699999999999998">
      <c r="H7" s="376"/>
      <c r="I7" s="457"/>
      <c r="J7" s="463"/>
      <c r="K7" s="463"/>
      <c r="L7" s="752"/>
      <c r="M7" s="193"/>
      <c r="W7" s="1631">
        <v>14</v>
      </c>
    </row>
    <row customHeight="1" ht="14.699999999999998">
      <c r="H8" s="376"/>
      <c r="I8" s="2405" t="s">
        <v>305</v>
      </c>
      <c r="J8" s="2406"/>
      <c r="K8" s="2406"/>
      <c r="L8" s="2407"/>
      <c r="M8" s="2408" t="s">
        <v>306</v>
      </c>
      <c r="W8" s="1631">
        <v>14</v>
      </c>
    </row>
    <row customHeight="1" ht="35.699999999999996">
      <c r="E9" s="2048" t="s">
        <v>644</v>
      </c>
      <c r="F9" s="2048" t="s">
        <v>650</v>
      </c>
      <c r="H9" s="376"/>
      <c r="I9" s="2022" t="s">
        <v>89</v>
      </c>
      <c r="J9" s="2023" t="s">
        <v>307</v>
      </c>
      <c r="K9" s="2061" t="s">
        <v>569</v>
      </c>
      <c r="L9" s="2062" t="s">
        <v>308</v>
      </c>
      <c r="M9" s="2408"/>
      <c r="W9" s="1631">
        <v>34</v>
      </c>
    </row>
    <row customHeight="1" ht="35.699999999999996">
      <c r="B10" s="2050" t="s">
        <v>716</v>
      </c>
      <c r="C10" s="2050" t="s">
        <v>717</v>
      </c>
      <c r="D10" s="2049" t="s">
        <v>653</v>
      </c>
      <c r="E10" s="2053" t="s">
        <v>654</v>
      </c>
      <c r="F10" s="2053" t="s">
        <v>654</v>
      </c>
      <c r="H10" s="376"/>
      <c r="I10" s="2021" t="s">
        <v>110</v>
      </c>
      <c r="J10" s="1883" t="s">
        <v>718</v>
      </c>
      <c r="K10" s="2015" t="s">
        <v>311</v>
      </c>
      <c r="L10" s="818"/>
      <c r="M10" s="297" t="s">
        <v>719</v>
      </c>
      <c r="W10" s="1631">
        <v>34</v>
      </c>
    </row>
    <row customHeight="1" ht="50.25">
      <c r="B11" s="2050" t="s">
        <v>720</v>
      </c>
      <c r="C11" s="2050" t="s">
        <v>721</v>
      </c>
      <c r="D11" s="2049" t="s">
        <v>653</v>
      </c>
      <c r="E11" s="2053" t="s">
        <v>654</v>
      </c>
      <c r="F11" s="2053" t="s">
        <v>654</v>
      </c>
      <c r="H11" s="376"/>
      <c r="I11" s="2021" t="s">
        <v>111</v>
      </c>
      <c r="J11" s="1883" t="s">
        <v>722</v>
      </c>
      <c r="K11" s="2015" t="s">
        <v>311</v>
      </c>
      <c r="L11" s="818"/>
      <c r="M11" s="297" t="s">
        <v>719</v>
      </c>
      <c r="W11" s="1631">
        <v>48</v>
      </c>
    </row>
    <row customHeight="1" ht="48.29999999999999">
      <c r="B12" s="2050" t="s">
        <v>723</v>
      </c>
      <c r="C12" s="2050" t="s">
        <v>724</v>
      </c>
      <c r="D12" s="2049" t="s">
        <v>653</v>
      </c>
      <c r="E12" s="2053" t="s">
        <v>654</v>
      </c>
      <c r="F12" s="2053" t="s">
        <v>654</v>
      </c>
      <c r="H12" s="1687"/>
      <c r="I12" s="2021" t="s">
        <v>91</v>
      </c>
      <c r="J12" s="2028" t="s">
        <v>725</v>
      </c>
      <c r="K12" s="2015" t="s">
        <v>311</v>
      </c>
      <c r="L12" s="818"/>
      <c r="M12" s="297" t="s">
        <v>726</v>
      </c>
      <c r="N12" s="1624"/>
      <c r="P12" s="1631"/>
      <c r="W12" s="1631">
        <v>46</v>
      </c>
    </row>
    <row customHeight="1" ht="14.699999999999998">
      <c r="E13" s="343"/>
      <c r="H13" s="376"/>
      <c r="I13" s="347"/>
      <c r="J13" s="651" t="s">
        <v>727</v>
      </c>
      <c r="K13" s="571"/>
      <c r="L13" s="214"/>
      <c r="M13" s="297"/>
      <c r="W13" s="1631">
        <v>14</v>
      </c>
    </row>
    <row customHeight="1" ht="14.699999999999998">
      <c r="E14" s="343"/>
      <c r="H14" s="376"/>
      <c r="I14" s="1057"/>
      <c r="J14" s="1676"/>
      <c r="K14" s="1677"/>
      <c r="L14" s="1678"/>
      <c r="M14" s="2025"/>
      <c r="W14" s="1631">
        <v>14</v>
      </c>
    </row>
    <row customHeight="1" ht="14.699999999999998">
      <c r="I15" s="1680"/>
      <c r="J15" s="2404"/>
      <c r="K15" s="2404"/>
      <c r="L15" s="2404"/>
      <c r="M15" s="2404"/>
      <c r="W15" s="1631">
        <v>14</v>
      </c>
    </row>
    <row customHeight="1" ht="21" hidden="1">
      <c r="A16" s="2027" t="s">
        <v>83</v>
      </c>
      <c r="B16" s="1631">
        <v>9</v>
      </c>
      <c r="C16" s="1631">
        <v>9</v>
      </c>
      <c r="D16" s="1631">
        <v>9</v>
      </c>
      <c r="E16" s="2027" t="s">
        <v>155</v>
      </c>
      <c r="F16" s="2052" t="s">
        <v>155</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C0DA8-D1D5-1624-A934-5DF961424B08}"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555</v>
      </c>
      <c r="H2" s="541"/>
      <c r="I2" s="541"/>
      <c r="J2" s="751"/>
      <c r="K2" s="751"/>
      <c r="L2" s="542" t="s">
        <v>728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26" t="s">
        <v>729</v>
      </c>
      <c r="F6" s="2326"/>
      <c r="G6" s="2326"/>
      <c r="H6" s="2326"/>
      <c r="I6" s="2326"/>
      <c r="J6" s="2326"/>
      <c r="K6" s="2326"/>
      <c r="L6" s="556"/>
      <c r="AH6" s="1631">
        <v>30</v>
      </c>
    </row>
    <row customHeight="1" ht="11.549999999999999">
      <c r="E7" s="2268" t="str">
        <f>IF(org=0,"Не определено",org)</f>
        <v>Муниципальное унитарное предприятие "Невельские коммунальные сети"</v>
      </c>
      <c r="F7" s="2268"/>
      <c r="G7" s="2268"/>
      <c r="H7" s="2268"/>
      <c r="I7" s="2268"/>
      <c r="J7" s="2268"/>
      <c r="K7" s="2268"/>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118</v>
      </c>
      <c r="J9" s="889" t="s">
        <v>123</v>
      </c>
      <c r="K9" s="889" t="s">
        <v>125</v>
      </c>
      <c r="AH9" s="1636">
        <v>4</v>
      </c>
    </row>
    <row customHeight="1" ht="11.549999999999999">
      <c r="E10" s="711"/>
      <c r="F10" s="2386" t="s">
        <v>106</v>
      </c>
      <c r="G10" s="2387"/>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412" t="str">
        <f>IF(J9="","",INDEX(DIFFERENTIATION_UNMERGE_VD,MATCH(J9,DIFFERENTIATION_ID_DIFF,0)))</f>
        <v>Производство тепловой энергии. Некомбинированная выработка</v>
      </c>
      <c r="K10" s="2412" t="str">
        <f>IF(K9="","",INDEX(DIFFERENTIATION_UNMERGE_VD,MATCH(K9,DIFFERENTIATION_ID_DIFF,0)))</f>
        <v>Производство тепловой энергии. Некомбинированная выработка</v>
      </c>
      <c r="L10" s="2146" t="s">
        <v>306</v>
      </c>
      <c r="AH10" s="1631">
        <v>11</v>
      </c>
    </row>
    <row customHeight="1" ht="11.549999999999999">
      <c r="E11" s="711"/>
      <c r="F11" s="2386" t="s">
        <v>567</v>
      </c>
      <c r="G11" s="2387"/>
      <c r="H11" s="1552" t="str">
        <f>IF(H9="","",INDEX(DIFFERENTIATION_UNMERGE_AREA,MATCH(H9,DIFFERENTIATION_ID_DIFF,0)))</f>
        <v/>
      </c>
      <c r="I11" s="1552" t="str">
        <f>IF(I9="","",INDEX(DIFFERENTIATION_UNMERGE_AREA,MATCH(I9,DIFFERENTIATION_ID_DIFF,0)))</f>
        <v>Территория 1</v>
      </c>
      <c r="J11" s="2412" t="str">
        <f>IF(J9="","",INDEX(DIFFERENTIATION_UNMERGE_AREA,MATCH(J9,DIFFERENTIATION_ID_DIFF,0)))</f>
        <v>Территория 1</v>
      </c>
      <c r="K11" s="2412" t="str">
        <f>IF(K9="","",INDEX(DIFFERENTIATION_UNMERGE_AREA,MATCH(K9,DIFFERENTIATION_ID_DIFF,0)))</f>
        <v>Территория 1</v>
      </c>
      <c r="L11" s="2146"/>
      <c r="AH11" s="1631">
        <v>11</v>
      </c>
    </row>
    <row customHeight="1" ht="1.05">
      <c r="E12" s="1662"/>
      <c r="F12" s="2409" t="s">
        <v>568</v>
      </c>
      <c r="G12" s="2410"/>
      <c r="H12" s="1663" t="str">
        <f>IF(H9="","",INDEX(DIFFERENTIATION_UNMERGE_SYSTEM,MATCH(H9,DIFFERENTIATION_ID_DIFF,0)))</f>
        <v/>
      </c>
      <c r="I12" s="1663" t="str">
        <f>IF(I9="","",INDEX(DIFFERENTIATION_UNMERGE_SYSTEM,MATCH(I9,DIFFERENTIATION_ID_DIFF,0)))</f>
        <v>Теплоснабжение за исключением сел Горнозаводск и Шебунино</v>
      </c>
      <c r="J12" s="1663" t="str">
        <f>IF(J9="","",INDEX(DIFFERENTIATION_UNMERGE_SYSTEM,MATCH(J9,DIFFERENTIATION_ID_DIFF,0)))</f>
        <v>Теплоснабжение с.Горнозаводск</v>
      </c>
      <c r="K12" s="1663" t="str">
        <f>IF(K9="","",INDEX(DIFFERENTIATION_UNMERGE_SYSTEM,MATCH(K9,DIFFERENTIATION_ID_DIFF,0)))</f>
        <v>Теплоснабжение с.Шебунино</v>
      </c>
      <c r="L12" s="2146"/>
      <c r="AH12" s="1631">
        <v>1</v>
      </c>
    </row>
    <row customHeight="1" ht="11.549999999999999">
      <c r="E13" s="2388" t="s">
        <v>305</v>
      </c>
      <c r="F13" s="2389"/>
      <c r="G13" s="2389"/>
      <c r="H13" s="1551"/>
      <c r="I13" s="1551"/>
      <c r="J13" s="2386"/>
      <c r="K13" s="2386"/>
      <c r="L13" s="2146"/>
      <c r="AH13" s="1631">
        <v>11</v>
      </c>
    </row>
    <row customHeight="1" ht="24">
      <c r="E14" s="1639" t="s">
        <v>89</v>
      </c>
      <c r="F14" s="1634" t="s">
        <v>307</v>
      </c>
      <c r="G14" s="1634" t="s">
        <v>569</v>
      </c>
      <c r="H14" s="1634" t="s">
        <v>308</v>
      </c>
      <c r="I14" s="1634" t="s">
        <v>308</v>
      </c>
      <c r="J14" s="2331" t="s">
        <v>308</v>
      </c>
      <c r="K14" s="2331" t="s">
        <v>308</v>
      </c>
      <c r="L14" s="2146"/>
      <c r="AH14" s="1631">
        <v>23</v>
      </c>
    </row>
    <row customHeight="1" ht="19.95">
      <c r="D15" s="1638"/>
      <c r="E15" s="1630" t="s">
        <v>110</v>
      </c>
      <c r="F15" s="707" t="s">
        <v>730</v>
      </c>
      <c r="G15" s="1646" t="s">
        <v>555</v>
      </c>
      <c r="H15" s="557"/>
      <c r="I15" s="557"/>
      <c r="J15" s="557"/>
      <c r="K15" s="557"/>
      <c r="L15" s="289" t="s">
        <v>731</v>
      </c>
      <c r="M15" s="543" t="s">
        <v>656</v>
      </c>
      <c r="AH15" s="1631">
        <v>19</v>
      </c>
    </row>
    <row customHeight="1" ht="35.699999999999996">
      <c r="D16" s="1638"/>
      <c r="E16" s="1630" t="s">
        <v>111</v>
      </c>
      <c r="F16" s="707" t="s">
        <v>732</v>
      </c>
      <c r="G16" s="1646" t="s">
        <v>555</v>
      </c>
      <c r="H16" s="558">
        <f>SUM(H17,H20,H23,H26,H29:H32,H35)</f>
        <v>0</v>
      </c>
      <c r="I16" s="558">
        <f>SUM(I17,I20,I23,I26,I29:I32,I35)</f>
        <v>0</v>
      </c>
      <c r="J16" s="558">
        <f>SUM(J17,J20,J23,J26,J29:J32,J35)</f>
        <v>0</v>
      </c>
      <c r="K16" s="558">
        <f>SUM(K17,K20,K23,K26,K29:K32,K35)</f>
        <v>0</v>
      </c>
      <c r="L16" s="289" t="s">
        <v>733</v>
      </c>
      <c r="M16" s="543" t="s">
        <v>656</v>
      </c>
      <c r="AH16" s="1631">
        <v>34</v>
      </c>
    </row>
    <row customHeight="1" ht="19.95">
      <c r="D17" s="1638"/>
      <c r="E17" s="1664" t="s">
        <v>734</v>
      </c>
      <c r="F17" s="954" t="s">
        <v>735</v>
      </c>
      <c r="G17" s="1643" t="s">
        <v>555</v>
      </c>
      <c r="H17" s="557"/>
      <c r="I17" s="557"/>
      <c r="J17" s="557"/>
      <c r="K17" s="557"/>
      <c r="L17" s="289" t="s">
        <v>736</v>
      </c>
      <c r="M17" s="543"/>
      <c r="AH17" s="1631">
        <v>19</v>
      </c>
    </row>
    <row customHeight="1" ht="24">
      <c r="D18" s="1638"/>
      <c r="E18" s="1664" t="s">
        <v>737</v>
      </c>
      <c r="F18" s="1650" t="s">
        <v>738</v>
      </c>
      <c r="G18" s="1643" t="s">
        <v>555</v>
      </c>
      <c r="H18" s="557"/>
      <c r="I18" s="557"/>
      <c r="J18" s="557"/>
      <c r="K18" s="557"/>
      <c r="L18" s="289" t="s">
        <v>739</v>
      </c>
      <c r="M18" s="543"/>
      <c r="AH18" s="1631">
        <v>23</v>
      </c>
    </row>
    <row customHeight="1" ht="35.699999999999996">
      <c r="D19" s="1638"/>
      <c r="E19" s="1664" t="s">
        <v>740</v>
      </c>
      <c r="F19" s="1650" t="s">
        <v>741</v>
      </c>
      <c r="G19" s="1643" t="s">
        <v>555</v>
      </c>
      <c r="H19" s="557"/>
      <c r="I19" s="557"/>
      <c r="J19" s="557"/>
      <c r="K19" s="557"/>
      <c r="L19" s="289"/>
      <c r="M19" s="543"/>
      <c r="AH19" s="1631">
        <v>34</v>
      </c>
    </row>
    <row customHeight="1" ht="19.95">
      <c r="D20" s="1638"/>
      <c r="E20" s="1664" t="s">
        <v>312</v>
      </c>
      <c r="F20" s="954" t="s">
        <v>742</v>
      </c>
      <c r="G20" s="1643" t="s">
        <v>555</v>
      </c>
      <c r="H20" s="557"/>
      <c r="I20" s="557"/>
      <c r="J20" s="557"/>
      <c r="K20" s="557"/>
      <c r="L20" s="289" t="s">
        <v>743</v>
      </c>
      <c r="M20" s="543"/>
      <c r="AH20" s="1631">
        <v>19</v>
      </c>
    </row>
    <row customHeight="1" ht="19.95">
      <c r="D21" s="1638"/>
      <c r="E21" s="1664" t="s">
        <v>744</v>
      </c>
      <c r="F21" s="1650" t="s">
        <v>745</v>
      </c>
      <c r="G21" s="1643" t="s">
        <v>555</v>
      </c>
      <c r="H21" s="557"/>
      <c r="I21" s="557"/>
      <c r="J21" s="557"/>
      <c r="K21" s="557"/>
      <c r="L21" s="289"/>
      <c r="M21" s="543"/>
      <c r="AH21" s="1631">
        <v>19</v>
      </c>
    </row>
    <row customHeight="1" ht="19.95">
      <c r="D22" s="1638"/>
      <c r="E22" s="1664" t="s">
        <v>746</v>
      </c>
      <c r="F22" s="1650" t="s">
        <v>747</v>
      </c>
      <c r="G22" s="1643" t="s">
        <v>555</v>
      </c>
      <c r="H22" s="557"/>
      <c r="I22" s="557"/>
      <c r="J22" s="557"/>
      <c r="K22" s="557"/>
      <c r="L22" s="289"/>
      <c r="M22" s="543"/>
      <c r="AH22" s="1631">
        <v>19</v>
      </c>
    </row>
    <row customHeight="1" ht="24">
      <c r="D23" s="1638"/>
      <c r="E23" s="1664" t="s">
        <v>315</v>
      </c>
      <c r="F23" s="954" t="s">
        <v>748</v>
      </c>
      <c r="G23" s="1643" t="s">
        <v>555</v>
      </c>
      <c r="H23" s="557"/>
      <c r="I23" s="557"/>
      <c r="J23" s="557"/>
      <c r="K23" s="557"/>
      <c r="L23" s="289" t="s">
        <v>749</v>
      </c>
      <c r="M23" s="543"/>
      <c r="AH23" s="1631">
        <v>23</v>
      </c>
    </row>
    <row customHeight="1" ht="19.95">
      <c r="D24" s="1638"/>
      <c r="E24" s="1664" t="s">
        <v>750</v>
      </c>
      <c r="F24" s="1650" t="s">
        <v>751</v>
      </c>
      <c r="G24" s="1643" t="s">
        <v>555</v>
      </c>
      <c r="H24" s="557"/>
      <c r="I24" s="557"/>
      <c r="J24" s="557"/>
      <c r="K24" s="557"/>
      <c r="L24" s="289"/>
      <c r="M24" s="543"/>
      <c r="AH24" s="1631">
        <v>19</v>
      </c>
    </row>
    <row customHeight="1" ht="35.699999999999996">
      <c r="D25" s="1638"/>
      <c r="E25" s="1664" t="s">
        <v>752</v>
      </c>
      <c r="F25" s="1650" t="s">
        <v>753</v>
      </c>
      <c r="G25" s="1643" t="s">
        <v>555</v>
      </c>
      <c r="H25" s="557"/>
      <c r="I25" s="557"/>
      <c r="J25" s="557"/>
      <c r="K25" s="557"/>
      <c r="L25" s="289"/>
      <c r="M25" s="543"/>
      <c r="AH25" s="1631">
        <v>34</v>
      </c>
    </row>
    <row customHeight="1" ht="24">
      <c r="D26" s="1638"/>
      <c r="E26" s="1664" t="s">
        <v>754</v>
      </c>
      <c r="F26" s="954" t="s">
        <v>755</v>
      </c>
      <c r="G26" s="1643" t="s">
        <v>555</v>
      </c>
      <c r="H26" s="557"/>
      <c r="I26" s="557"/>
      <c r="J26" s="557"/>
      <c r="K26" s="557"/>
      <c r="L26" s="289" t="s">
        <v>756</v>
      </c>
      <c r="M26" s="543"/>
      <c r="AH26" s="1631">
        <v>23</v>
      </c>
    </row>
    <row customHeight="1" ht="19.95">
      <c r="D27" s="1638"/>
      <c r="E27" s="1674" t="s">
        <v>757</v>
      </c>
      <c r="F27" s="1650" t="s">
        <v>758</v>
      </c>
      <c r="G27" s="1654" t="s">
        <v>555</v>
      </c>
      <c r="H27" s="1675"/>
      <c r="I27" s="1675"/>
      <c r="J27" s="1675"/>
      <c r="K27" s="1675"/>
      <c r="L27" s="289"/>
      <c r="M27" s="543"/>
      <c r="AH27" s="1631">
        <v>19</v>
      </c>
    </row>
    <row customHeight="1" ht="19.95">
      <c r="D28" s="1638"/>
      <c r="E28" s="1674" t="s">
        <v>759</v>
      </c>
      <c r="F28" s="1650" t="s">
        <v>760</v>
      </c>
      <c r="G28" s="1654" t="s">
        <v>555</v>
      </c>
      <c r="H28" s="1675"/>
      <c r="I28" s="1675"/>
      <c r="J28" s="1675"/>
      <c r="K28" s="1675"/>
      <c r="L28" s="289"/>
      <c r="M28" s="543"/>
      <c r="AH28" s="1631">
        <v>19</v>
      </c>
    </row>
    <row customHeight="1" ht="19.95">
      <c r="D29" s="1638"/>
      <c r="E29" s="1674" t="s">
        <v>761</v>
      </c>
      <c r="F29" s="954" t="s">
        <v>762</v>
      </c>
      <c r="G29" s="1654" t="s">
        <v>555</v>
      </c>
      <c r="H29" s="1675"/>
      <c r="I29" s="1675"/>
      <c r="J29" s="1675"/>
      <c r="K29" s="1675"/>
      <c r="L29" s="289"/>
      <c r="M29" s="543"/>
      <c r="AH29" s="1631">
        <v>19</v>
      </c>
    </row>
    <row customHeight="1" ht="19.95">
      <c r="D30" s="1638"/>
      <c r="E30" s="1674" t="s">
        <v>763</v>
      </c>
      <c r="F30" s="954" t="s">
        <v>764</v>
      </c>
      <c r="G30" s="1654" t="s">
        <v>555</v>
      </c>
      <c r="H30" s="1675"/>
      <c r="I30" s="1675"/>
      <c r="J30" s="1675"/>
      <c r="K30" s="1675"/>
      <c r="L30" s="289"/>
      <c r="M30" s="543"/>
      <c r="AH30" s="1631">
        <v>19</v>
      </c>
    </row>
    <row customHeight="1" ht="19.95">
      <c r="D31" s="1638"/>
      <c r="E31" s="1674" t="s">
        <v>765</v>
      </c>
      <c r="F31" s="954" t="s">
        <v>766</v>
      </c>
      <c r="G31" s="1654" t="s">
        <v>555</v>
      </c>
      <c r="H31" s="1675"/>
      <c r="I31" s="1675"/>
      <c r="J31" s="1675"/>
      <c r="K31" s="1675"/>
      <c r="L31" s="289"/>
      <c r="M31" s="543"/>
      <c r="AH31" s="1631">
        <v>19</v>
      </c>
    </row>
    <row s="1366" customFormat="1" customHeight="1" ht="35.699999999999996">
      <c r="A32" s="987"/>
      <c r="C32" s="1636"/>
      <c r="D32" s="1638"/>
      <c r="E32" s="1674" t="s">
        <v>767</v>
      </c>
      <c r="F32" s="954" t="s">
        <v>768</v>
      </c>
      <c r="G32" s="1644" t="s">
        <v>555</v>
      </c>
      <c r="H32" s="579">
        <f>SUM(H33:H34)</f>
        <v>0</v>
      </c>
      <c r="I32" s="579">
        <f>SUM(I33:I34)</f>
        <v>0</v>
      </c>
      <c r="J32" s="579">
        <f>SUM(J33:J34)</f>
        <v>0</v>
      </c>
      <c r="K32" s="579">
        <f>SUM(K33:K34)</f>
        <v>0</v>
      </c>
      <c r="L32" s="289" t="s">
        <v>769</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5" t="s">
        <v>591</v>
      </c>
      <c r="G34" s="572"/>
      <c r="H34" s="573"/>
      <c r="I34" s="573"/>
      <c r="J34" s="2672"/>
      <c r="K34" s="2673"/>
      <c r="L34" s="301" t="s">
        <v>770</v>
      </c>
      <c r="M34" s="543"/>
      <c r="N34" s="1636"/>
      <c r="O34" s="1636"/>
      <c r="T34" s="1636"/>
      <c r="W34" s="544"/>
      <c r="AC34" s="1632"/>
      <c r="AD34" s="1632"/>
      <c r="AE34" s="1632"/>
      <c r="AF34" s="1632"/>
      <c r="AG34" s="1632"/>
      <c r="AH34" s="1160">
        <v>19</v>
      </c>
    </row>
    <row customHeight="1" ht="60">
      <c r="D35" s="1638"/>
      <c r="E35" s="1674" t="s">
        <v>771</v>
      </c>
      <c r="F35" s="954" t="s">
        <v>772</v>
      </c>
      <c r="G35" s="1654" t="s">
        <v>555</v>
      </c>
      <c r="H35" s="1675"/>
      <c r="I35" s="1675"/>
      <c r="J35" s="1675"/>
      <c r="K35" s="1675"/>
      <c r="L35" s="289" t="s">
        <v>773</v>
      </c>
      <c r="M35" s="543"/>
      <c r="AH35" s="1631">
        <v>57</v>
      </c>
    </row>
    <row customHeight="1" ht="19.95">
      <c r="B36" s="1366"/>
      <c r="D36" s="2075"/>
      <c r="E36" s="1674" t="s">
        <v>774</v>
      </c>
      <c r="F36" s="2079" t="s">
        <v>775</v>
      </c>
      <c r="G36" s="2074" t="s">
        <v>555</v>
      </c>
      <c r="H36" s="2080"/>
      <c r="I36" s="2080"/>
      <c r="J36" s="2080"/>
      <c r="K36" s="2080"/>
      <c r="L36" s="2081" t="s">
        <v>776</v>
      </c>
      <c r="M36" s="543"/>
      <c r="P36" s="1366"/>
      <c r="Q36" s="1366"/>
      <c r="R36" s="1366"/>
      <c r="S36" s="1366"/>
      <c r="U36" s="1366"/>
      <c r="V36" s="1366"/>
      <c r="X36" s="1366"/>
      <c r="Y36" s="1366"/>
      <c r="Z36" s="1366"/>
      <c r="AA36" s="1366"/>
      <c r="AB36" s="1366"/>
      <c r="AH36" s="1631">
        <v>19</v>
      </c>
    </row>
    <row customHeight="1" ht="19.95">
      <c r="B37" s="1366"/>
      <c r="D37" s="2075"/>
      <c r="E37" s="1674" t="s">
        <v>777</v>
      </c>
      <c r="F37" s="2079" t="s">
        <v>778</v>
      </c>
      <c r="G37" s="2074" t="s">
        <v>555</v>
      </c>
      <c r="H37" s="2080"/>
      <c r="I37" s="2080"/>
      <c r="J37" s="2080"/>
      <c r="K37" s="2080"/>
      <c r="L37" s="2081" t="s">
        <v>779</v>
      </c>
      <c r="M37" s="543"/>
      <c r="P37" s="1366"/>
      <c r="Q37" s="1366"/>
      <c r="R37" s="1366"/>
      <c r="S37" s="1366"/>
      <c r="U37" s="1366"/>
      <c r="V37" s="1366"/>
      <c r="X37" s="1366"/>
      <c r="Y37" s="1366"/>
      <c r="Z37" s="1366"/>
      <c r="AA37" s="1366"/>
      <c r="AB37" s="1366"/>
      <c r="AH37" s="1631">
        <v>19</v>
      </c>
    </row>
    <row s="1366" customFormat="1" customHeight="1" ht="24">
      <c r="A38" s="989" t="s">
        <v>592</v>
      </c>
      <c r="C38" s="1636"/>
      <c r="D38" s="1638"/>
      <c r="E38" s="1664" t="s">
        <v>91</v>
      </c>
      <c r="F38" s="707" t="s">
        <v>780</v>
      </c>
      <c r="G38" s="1643" t="s">
        <v>555</v>
      </c>
      <c r="H38" s="557"/>
      <c r="I38" s="557"/>
      <c r="J38" s="557"/>
      <c r="K38" s="557"/>
      <c r="L38" s="289" t="s">
        <v>781</v>
      </c>
      <c r="M38" s="543"/>
      <c r="N38" s="1636"/>
      <c r="O38" s="1636"/>
      <c r="T38" s="1636"/>
      <c r="W38" s="544"/>
      <c r="AC38" s="1632"/>
      <c r="AD38" s="1632"/>
      <c r="AE38" s="1632"/>
      <c r="AF38" s="1632"/>
      <c r="AG38" s="1632"/>
      <c r="AH38" s="1160">
        <v>23</v>
      </c>
    </row>
    <row s="1366" customFormat="1" customHeight="1" ht="35.699999999999996">
      <c r="A39" s="989"/>
      <c r="C39" s="1636"/>
      <c r="D39" s="1638"/>
      <c r="E39" s="1664" t="s">
        <v>329</v>
      </c>
      <c r="F39" s="954" t="s">
        <v>782</v>
      </c>
      <c r="G39" s="1654"/>
      <c r="H39" s="557"/>
      <c r="I39" s="557"/>
      <c r="J39" s="557"/>
      <c r="K39" s="557"/>
      <c r="L39" s="289"/>
      <c r="M39" s="543"/>
      <c r="N39" s="1636"/>
      <c r="O39" s="1636"/>
      <c r="T39" s="1636"/>
      <c r="W39" s="544"/>
      <c r="AC39" s="1632"/>
      <c r="AD39" s="1632"/>
      <c r="AE39" s="1632"/>
      <c r="AF39" s="1632"/>
      <c r="AG39" s="1632"/>
      <c r="AH39" s="1160">
        <v>34</v>
      </c>
    </row>
    <row s="1366" customFormat="1" customHeight="1" ht="19.95">
      <c r="A40" s="987"/>
      <c r="C40" s="1636"/>
      <c r="D40" s="575"/>
      <c r="E40" s="1664" t="s">
        <v>92</v>
      </c>
      <c r="F40" s="707" t="s">
        <v>783</v>
      </c>
      <c r="G40" s="1643" t="s">
        <v>555</v>
      </c>
      <c r="H40" s="557"/>
      <c r="I40" s="557"/>
      <c r="J40" s="557"/>
      <c r="K40" s="557"/>
      <c r="L40" s="289" t="s">
        <v>784</v>
      </c>
      <c r="M40" s="543"/>
      <c r="N40" s="1636"/>
      <c r="O40" s="1636"/>
      <c r="T40" s="1636"/>
      <c r="W40" s="544"/>
      <c r="AC40" s="1632"/>
      <c r="AD40" s="1632"/>
      <c r="AE40" s="1632"/>
      <c r="AF40" s="1632"/>
      <c r="AG40" s="1632"/>
      <c r="AH40" s="1160">
        <v>19</v>
      </c>
    </row>
    <row s="1366" customFormat="1" customHeight="1" ht="24">
      <c r="A41" s="987"/>
      <c r="C41" s="1636"/>
      <c r="D41" s="575"/>
      <c r="E41" s="1664" t="s">
        <v>785</v>
      </c>
      <c r="F41" s="954" t="s">
        <v>786</v>
      </c>
      <c r="G41" s="1654" t="s">
        <v>555</v>
      </c>
      <c r="H41" s="557"/>
      <c r="I41" s="557"/>
      <c r="J41" s="557"/>
      <c r="K41" s="557"/>
      <c r="L41" s="289" t="s">
        <v>787</v>
      </c>
      <c r="M41" s="543"/>
      <c r="N41" s="1636"/>
      <c r="O41" s="1636"/>
      <c r="T41" s="1636"/>
      <c r="W41" s="544"/>
      <c r="AC41" s="1632"/>
      <c r="AD41" s="1632"/>
      <c r="AE41" s="1632"/>
      <c r="AF41" s="1632"/>
      <c r="AG41" s="1632"/>
      <c r="AH41" s="1160">
        <v>23</v>
      </c>
    </row>
    <row s="1366" customFormat="1" customHeight="1" ht="24">
      <c r="A42" s="987"/>
      <c r="C42" s="1636"/>
      <c r="D42" s="1638"/>
      <c r="E42" s="1664" t="s">
        <v>788</v>
      </c>
      <c r="F42" s="1650" t="s">
        <v>789</v>
      </c>
      <c r="G42" s="1643" t="s">
        <v>555</v>
      </c>
      <c r="H42" s="557"/>
      <c r="I42" s="557"/>
      <c r="J42" s="557"/>
      <c r="K42" s="557"/>
      <c r="L42" s="289" t="s">
        <v>790</v>
      </c>
      <c r="M42" s="543"/>
      <c r="N42" s="1636"/>
      <c r="O42" s="1636"/>
      <c r="T42" s="1636"/>
      <c r="W42" s="544"/>
      <c r="AC42" s="1632"/>
      <c r="AD42" s="1632"/>
      <c r="AE42" s="1632"/>
      <c r="AF42" s="1632"/>
      <c r="AG42" s="1632"/>
      <c r="AH42" s="1160">
        <v>23</v>
      </c>
    </row>
    <row s="1366" customFormat="1" customHeight="1" ht="24">
      <c r="A43" s="987"/>
      <c r="C43" s="1636"/>
      <c r="D43" s="1638"/>
      <c r="E43" s="1664" t="s">
        <v>791</v>
      </c>
      <c r="F43" s="1650" t="s">
        <v>792</v>
      </c>
      <c r="G43" s="1643" t="s">
        <v>555</v>
      </c>
      <c r="H43" s="557"/>
      <c r="I43" s="557"/>
      <c r="J43" s="557"/>
      <c r="K43" s="557"/>
      <c r="L43" s="289" t="s">
        <v>793</v>
      </c>
      <c r="M43" s="543"/>
      <c r="N43" s="1636"/>
      <c r="O43" s="1636"/>
      <c r="T43" s="1636"/>
      <c r="W43" s="544"/>
      <c r="AC43" s="1632"/>
      <c r="AD43" s="1632"/>
      <c r="AE43" s="1632"/>
      <c r="AF43" s="1632"/>
      <c r="AG43" s="1632"/>
      <c r="AH43" s="1160">
        <v>23</v>
      </c>
    </row>
    <row s="1366" customFormat="1" customHeight="1" ht="24">
      <c r="A44" s="987"/>
      <c r="C44" s="1636"/>
      <c r="D44" s="1638"/>
      <c r="E44" s="1664" t="s">
        <v>794</v>
      </c>
      <c r="F44" s="1650" t="s">
        <v>795</v>
      </c>
      <c r="G44" s="1643" t="s">
        <v>555</v>
      </c>
      <c r="H44" s="557"/>
      <c r="I44" s="557"/>
      <c r="J44" s="557"/>
      <c r="K44" s="557"/>
      <c r="L44" s="289" t="s">
        <v>796</v>
      </c>
      <c r="M44" s="543"/>
      <c r="N44" s="1636"/>
      <c r="O44" s="1636"/>
      <c r="T44" s="1636"/>
      <c r="W44" s="544"/>
      <c r="AC44" s="1632"/>
      <c r="AD44" s="1632"/>
      <c r="AE44" s="1632"/>
      <c r="AF44" s="1632"/>
      <c r="AG44" s="1632"/>
      <c r="AH44" s="1160">
        <v>23</v>
      </c>
    </row>
    <row s="1366" customFormat="1" customHeight="1" ht="35.699999999999996">
      <c r="A45" s="987"/>
      <c r="C45" s="1636" t="s">
        <v>594</v>
      </c>
      <c r="D45" s="1638"/>
      <c r="E45" s="1664" t="s">
        <v>100</v>
      </c>
      <c r="F45" s="707" t="s">
        <v>655</v>
      </c>
      <c r="G45" s="1646" t="s">
        <v>797</v>
      </c>
      <c r="H45" s="401"/>
      <c r="I45" s="401"/>
      <c r="J45" s="818"/>
      <c r="K45" s="818"/>
      <c r="L45" s="289" t="s">
        <v>798</v>
      </c>
      <c r="M45" s="543"/>
      <c r="N45" s="1636"/>
      <c r="O45" s="1636"/>
      <c r="T45" s="1636"/>
      <c r="W45" s="544"/>
      <c r="AC45" s="1632"/>
      <c r="AD45" s="1632"/>
      <c r="AE45" s="1632"/>
      <c r="AF45" s="1632"/>
      <c r="AG45" s="1632"/>
      <c r="AH45" s="1160">
        <v>34</v>
      </c>
    </row>
    <row s="1366" customFormat="1" customHeight="1" ht="35.699999999999996">
      <c r="A46" s="987"/>
      <c r="C46" s="1636"/>
      <c r="D46" s="1638"/>
      <c r="E46" s="1664" t="s">
        <v>93</v>
      </c>
      <c r="F46" s="707" t="s">
        <v>799</v>
      </c>
      <c r="G46" s="1643" t="s">
        <v>800</v>
      </c>
      <c r="H46" s="545"/>
      <c r="I46" s="545"/>
      <c r="J46" s="545"/>
      <c r="K46" s="545"/>
      <c r="L46" s="289" t="s">
        <v>801</v>
      </c>
      <c r="M46" s="543"/>
      <c r="N46" s="1636"/>
      <c r="O46" s="1636"/>
      <c r="T46" s="1636"/>
      <c r="W46" s="544"/>
      <c r="AC46" s="1632"/>
      <c r="AD46" s="1632"/>
      <c r="AE46" s="1632"/>
      <c r="AF46" s="1632"/>
      <c r="AG46" s="1632"/>
      <c r="AH46" s="1160">
        <v>34</v>
      </c>
    </row>
    <row s="1366" customFormat="1" customHeight="1" ht="24">
      <c r="A47" s="987"/>
      <c r="C47" s="1636"/>
      <c r="D47" s="1638"/>
      <c r="E47" s="1664" t="s">
        <v>94</v>
      </c>
      <c r="F47" s="707" t="s">
        <v>802</v>
      </c>
      <c r="G47" s="1654" t="s">
        <v>803</v>
      </c>
      <c r="H47" s="545"/>
      <c r="I47" s="545"/>
      <c r="J47" s="545"/>
      <c r="K47" s="545"/>
      <c r="L47" s="289" t="s">
        <v>804</v>
      </c>
      <c r="M47" s="543"/>
      <c r="N47" s="1636"/>
      <c r="O47" s="1636"/>
      <c r="T47" s="1636"/>
      <c r="W47" s="544"/>
      <c r="AC47" s="1632"/>
      <c r="AD47" s="1632"/>
      <c r="AE47" s="1632"/>
      <c r="AF47" s="1632"/>
      <c r="AG47" s="1632"/>
      <c r="AH47" s="1160">
        <v>23</v>
      </c>
    </row>
    <row s="1366" customFormat="1" customHeight="1" ht="19.95">
      <c r="A48" s="987"/>
      <c r="C48" s="1636"/>
      <c r="D48" s="1638"/>
      <c r="E48" s="1664" t="s">
        <v>112</v>
      </c>
      <c r="F48" s="707" t="s">
        <v>805</v>
      </c>
      <c r="G48" s="1643" t="s">
        <v>611</v>
      </c>
      <c r="H48" s="577"/>
      <c r="I48" s="577"/>
      <c r="J48" s="577"/>
      <c r="K48" s="577"/>
      <c r="L48" s="289"/>
      <c r="M48" s="543"/>
      <c r="N48" s="1636"/>
      <c r="O48" s="1636"/>
      <c r="T48" s="1636"/>
      <c r="W48" s="544"/>
      <c r="AC48" s="1632"/>
      <c r="AD48" s="1632"/>
      <c r="AE48" s="1632"/>
      <c r="AF48" s="1632"/>
      <c r="AG48" s="1632"/>
      <c r="AH48" s="1160">
        <v>19</v>
      </c>
    </row>
    <row customHeight="1" ht="11.549999999999999">
      <c r="D49" s="1638"/>
      <c r="J49" s="1635"/>
      <c r="K49" s="1635"/>
      <c r="AH49" s="163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H52" s="566"/>
      <c r="I52" s="566"/>
      <c r="J52" s="622"/>
      <c r="K52" s="622"/>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customHeight="1" ht="11.549999999999999">
      <c r="J205" s="1635"/>
      <c r="K205" s="1635"/>
      <c r="AH205" s="1631">
        <v>11</v>
      </c>
    </row>
    <row customHeight="1" ht="11.549999999999999">
      <c r="J206" s="1635"/>
      <c r="K206" s="1635"/>
      <c r="AH206" s="1631">
        <v>11</v>
      </c>
    </row>
    <row customHeight="1" ht="11.549999999999999">
      <c r="J207" s="1635"/>
      <c r="K207" s="1635"/>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549999999999999">
      <c r="A217" s="990"/>
      <c r="B217" s="1631"/>
      <c r="D217" s="1631"/>
      <c r="J217" s="1635"/>
      <c r="K217" s="1635"/>
      <c r="M217" s="1631"/>
      <c r="P217" s="1631"/>
      <c r="Q217" s="1631"/>
      <c r="R217" s="1631"/>
      <c r="S217" s="1631"/>
      <c r="U217" s="1631"/>
      <c r="V217" s="1631"/>
      <c r="W217" s="1631"/>
      <c r="X217" s="1631"/>
      <c r="Y217" s="1631"/>
      <c r="Z217" s="1631"/>
      <c r="AA217" s="1631"/>
      <c r="AB217" s="1631"/>
      <c r="AC217" s="1631"/>
      <c r="AD217" s="1631"/>
      <c r="AE217" s="1631"/>
      <c r="AF217" s="1631"/>
      <c r="AG217" s="1631"/>
      <c r="AH217" s="1631">
        <v>11</v>
      </c>
    </row>
    <row customHeight="1" ht="11.549999999999999">
      <c r="A218" s="990"/>
      <c r="B218" s="1631"/>
      <c r="D218" s="1631"/>
      <c r="J218" s="1635"/>
      <c r="K218" s="1635"/>
      <c r="M218" s="1631"/>
      <c r="P218" s="1631"/>
      <c r="Q218" s="1631"/>
      <c r="R218" s="1631"/>
      <c r="S218" s="1631"/>
      <c r="U218" s="1631"/>
      <c r="V218" s="1631"/>
      <c r="W218" s="1631"/>
      <c r="X218" s="1631"/>
      <c r="Y218" s="1631"/>
      <c r="Z218" s="1631"/>
      <c r="AA218" s="1631"/>
      <c r="AB218" s="1631"/>
      <c r="AC218" s="1631"/>
      <c r="AD218" s="1631"/>
      <c r="AE218" s="1631"/>
      <c r="AF218" s="1631"/>
      <c r="AG218" s="1631"/>
      <c r="AH218" s="1631">
        <v>11</v>
      </c>
    </row>
    <row customHeight="1" ht="11.25" hidden="1">
      <c r="A219" s="987" t="s">
        <v>83</v>
      </c>
      <c r="B219" s="1160">
        <v>0</v>
      </c>
      <c r="C219" s="1636">
        <v>0</v>
      </c>
      <c r="D219" s="1635">
        <v>3</v>
      </c>
      <c r="E219" s="1631">
        <v>7</v>
      </c>
      <c r="F219" s="1631">
        <v>56</v>
      </c>
      <c r="G219" s="1631">
        <v>10</v>
      </c>
      <c r="H219" s="1631">
        <v>0</v>
      </c>
      <c r="I219" s="1631">
        <v>40</v>
      </c>
      <c r="J219" s="1635">
        <v>0</v>
      </c>
      <c r="K219" s="1635">
        <v>0</v>
      </c>
      <c r="L219" s="1631">
        <v>102</v>
      </c>
      <c r="M219" s="1160">
        <v>9</v>
      </c>
      <c r="N219" s="1636">
        <v>5</v>
      </c>
      <c r="O219" s="1636">
        <v>3</v>
      </c>
      <c r="P219" s="1160">
        <v>3</v>
      </c>
      <c r="Q219" s="1160">
        <v>3</v>
      </c>
      <c r="R219" s="1160">
        <v>3</v>
      </c>
      <c r="S219" s="1160">
        <v>3</v>
      </c>
      <c r="T219" s="1636">
        <v>10</v>
      </c>
      <c r="U219" s="1160">
        <v>34</v>
      </c>
      <c r="V219" s="1160">
        <v>9</v>
      </c>
      <c r="W219" s="544">
        <v>8</v>
      </c>
      <c r="X219" s="1160">
        <v>8</v>
      </c>
      <c r="Y219" s="1160">
        <v>8</v>
      </c>
      <c r="Z219" s="1160">
        <v>8</v>
      </c>
      <c r="AA219" s="1160">
        <v>8</v>
      </c>
      <c r="AB219" s="1160">
        <v>8</v>
      </c>
      <c r="AC219" s="1632">
        <v>8</v>
      </c>
      <c r="AD219" s="1632">
        <v>8</v>
      </c>
      <c r="AE219" s="1632">
        <v>8</v>
      </c>
      <c r="AF219" s="1632">
        <v>8</v>
      </c>
      <c r="AG219" s="1632">
        <v>8</v>
      </c>
      <c r="AH219"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B7E86-DC2D-AD5A-6FE8-EADD03933988}"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555</v>
      </c>
      <c r="H2" s="541"/>
      <c r="I2" s="541"/>
      <c r="J2" s="751"/>
      <c r="K2" s="751"/>
      <c r="L2" s="542" t="s">
        <v>558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67" t="s">
        <v>806</v>
      </c>
      <c r="F6" s="2267"/>
      <c r="G6" s="2267"/>
      <c r="H6" s="2267"/>
      <c r="I6" s="2267"/>
      <c r="J6" s="2267"/>
      <c r="K6" s="2267"/>
      <c r="L6" s="556"/>
      <c r="AH6" s="1631">
        <v>32</v>
      </c>
    </row>
    <row customHeight="1" ht="25.2">
      <c r="E7" s="2268" t="str">
        <f>IF(org=0,"Не определено",org)</f>
        <v>Муниципальное унитарное предприятие "Невельские коммунальные сети"</v>
      </c>
      <c r="F7" s="2268"/>
      <c r="G7" s="2268"/>
      <c r="H7" s="2268"/>
      <c r="I7" s="2268"/>
      <c r="J7" s="2268"/>
      <c r="K7" s="2268"/>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118</v>
      </c>
      <c r="J9" s="889" t="s">
        <v>123</v>
      </c>
      <c r="K9" s="889" t="s">
        <v>125</v>
      </c>
      <c r="AH9" s="1636">
        <v>1</v>
      </c>
    </row>
    <row customHeight="1" ht="11.549999999999999">
      <c r="E10" s="711"/>
      <c r="F10" s="2386" t="s">
        <v>106</v>
      </c>
      <c r="G10" s="2387"/>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412" t="str">
        <f>IF(J9="","",INDEX(DIFFERENTIATION_UNMERGE_VD,MATCH(J9,DIFFERENTIATION_ID_DIFF,0)))</f>
        <v>Производство тепловой энергии. Некомбинированная выработка</v>
      </c>
      <c r="K10" s="2412" t="str">
        <f>IF(K9="","",INDEX(DIFFERENTIATION_UNMERGE_VD,MATCH(K9,DIFFERENTIATION_ID_DIFF,0)))</f>
        <v>Производство тепловой энергии. Некомбинированная выработка</v>
      </c>
      <c r="L10" s="2146" t="s">
        <v>306</v>
      </c>
      <c r="AH10" s="1631">
        <v>11</v>
      </c>
    </row>
    <row customHeight="1" ht="11.549999999999999">
      <c r="E11" s="711"/>
      <c r="F11" s="2386" t="s">
        <v>567</v>
      </c>
      <c r="G11" s="2387"/>
      <c r="H11" s="1659" t="str">
        <f>IF(H9="","",INDEX(DIFFERENTIATION_UNMERGE_AREA,MATCH(H9,DIFFERENTIATION_ID_DIFF,0)))</f>
        <v/>
      </c>
      <c r="I11" s="1659" t="str">
        <f>IF(I9="","",INDEX(DIFFERENTIATION_UNMERGE_AREA,MATCH(I9,DIFFERENTIATION_ID_DIFF,0)))</f>
        <v>Территория 1</v>
      </c>
      <c r="J11" s="2412" t="str">
        <f>IF(J9="","",INDEX(DIFFERENTIATION_UNMERGE_AREA,MATCH(J9,DIFFERENTIATION_ID_DIFF,0)))</f>
        <v>Территория 1</v>
      </c>
      <c r="K11" s="2412" t="str">
        <f>IF(K9="","",INDEX(DIFFERENTIATION_UNMERGE_AREA,MATCH(K9,DIFFERENTIATION_ID_DIFF,0)))</f>
        <v>Территория 1</v>
      </c>
      <c r="L11" s="2146"/>
      <c r="AH11" s="1631">
        <v>11</v>
      </c>
    </row>
    <row customHeight="1" ht="11.25" hidden="1">
      <c r="E12" s="1662"/>
      <c r="F12" s="2409" t="s">
        <v>568</v>
      </c>
      <c r="G12" s="2410"/>
      <c r="H12" s="1663" t="str">
        <f>IF(H9="","",INDEX(DIFFERENTIATION_UNMERGE_SYSTEM,MATCH(H9,DIFFERENTIATION_ID_DIFF,0)))</f>
        <v/>
      </c>
      <c r="I12" s="1663" t="str">
        <f>IF(I9="","",INDEX(DIFFERENTIATION_UNMERGE_SYSTEM,MATCH(I9,DIFFERENTIATION_ID_DIFF,0)))</f>
        <v>Теплоснабжение за исключением сел Горнозаводск и Шебунино</v>
      </c>
      <c r="J12" s="1663" t="str">
        <f>IF(J9="","",INDEX(DIFFERENTIATION_UNMERGE_SYSTEM,MATCH(J9,DIFFERENTIATION_ID_DIFF,0)))</f>
        <v>Теплоснабжение с.Горнозаводск</v>
      </c>
      <c r="K12" s="1663" t="str">
        <f>IF(K9="","",INDEX(DIFFERENTIATION_UNMERGE_SYSTEM,MATCH(K9,DIFFERENTIATION_ID_DIFF,0)))</f>
        <v>Теплоснабжение с.Шебунино</v>
      </c>
      <c r="L12" s="2146"/>
      <c r="AH12" s="1631">
        <v>0</v>
      </c>
    </row>
    <row customHeight="1" ht="11.549999999999999">
      <c r="E13" s="2388" t="s">
        <v>305</v>
      </c>
      <c r="F13" s="2389"/>
      <c r="G13" s="2389"/>
      <c r="H13" s="1656"/>
      <c r="I13" s="1656"/>
      <c r="J13" s="2386"/>
      <c r="K13" s="2386"/>
      <c r="L13" s="2146"/>
      <c r="AH13" s="1631">
        <v>11</v>
      </c>
    </row>
    <row customHeight="1" ht="24">
      <c r="E14" s="1657" t="s">
        <v>89</v>
      </c>
      <c r="F14" s="1660" t="s">
        <v>307</v>
      </c>
      <c r="G14" s="1660" t="s">
        <v>569</v>
      </c>
      <c r="H14" s="1660" t="s">
        <v>308</v>
      </c>
      <c r="I14" s="1660" t="s">
        <v>308</v>
      </c>
      <c r="J14" s="2331" t="s">
        <v>308</v>
      </c>
      <c r="K14" s="2331" t="s">
        <v>308</v>
      </c>
      <c r="L14" s="2146"/>
      <c r="AH14" s="1631">
        <v>23</v>
      </c>
    </row>
    <row customHeight="1" ht="19.95">
      <c r="D15" s="1638"/>
      <c r="E15" s="1630" t="s">
        <v>110</v>
      </c>
      <c r="F15" s="707" t="s">
        <v>807</v>
      </c>
      <c r="G15" s="1657" t="s">
        <v>555</v>
      </c>
      <c r="H15" s="557"/>
      <c r="I15" s="557"/>
      <c r="J15" s="557"/>
      <c r="K15" s="557"/>
      <c r="L15" s="289" t="s">
        <v>808</v>
      </c>
      <c r="M15" s="543" t="s">
        <v>656</v>
      </c>
      <c r="AH15" s="1631">
        <v>19</v>
      </c>
    </row>
    <row customHeight="1" ht="24">
      <c r="D16" s="1638"/>
      <c r="E16" s="1630" t="s">
        <v>111</v>
      </c>
      <c r="F16" s="2084" t="s">
        <v>809</v>
      </c>
      <c r="G16" s="1657" t="s">
        <v>555</v>
      </c>
      <c r="H16" s="558">
        <f>SUM(H17,H20:H27)</f>
        <v>0</v>
      </c>
      <c r="I16" s="558">
        <f>SUM(I17,I20:I27)</f>
        <v>0</v>
      </c>
      <c r="J16" s="558">
        <f>SUM(J17,J20:J27)</f>
        <v>0</v>
      </c>
      <c r="K16" s="558">
        <f>SUM(K17,K20:K27)</f>
        <v>0</v>
      </c>
      <c r="L16" s="2081" t="s">
        <v>810</v>
      </c>
      <c r="M16" s="543" t="s">
        <v>656</v>
      </c>
      <c r="AH16" s="1631">
        <v>23</v>
      </c>
    </row>
    <row customHeight="1" ht="35.699999999999996">
      <c r="D17" s="1638"/>
      <c r="E17" s="1664" t="s">
        <v>734</v>
      </c>
      <c r="F17" s="1666" t="s">
        <v>811</v>
      </c>
      <c r="G17" s="1654" t="s">
        <v>555</v>
      </c>
      <c r="H17" s="557"/>
      <c r="I17" s="557"/>
      <c r="J17" s="557"/>
      <c r="K17" s="557"/>
      <c r="L17" s="289" t="s">
        <v>812</v>
      </c>
      <c r="M17" s="543"/>
      <c r="AH17" s="1631">
        <v>34</v>
      </c>
    </row>
    <row customHeight="1" ht="19.95">
      <c r="D18" s="1638"/>
      <c r="E18" s="1664" t="s">
        <v>737</v>
      </c>
      <c r="F18" s="1667" t="s">
        <v>813</v>
      </c>
      <c r="G18" s="1654" t="s">
        <v>555</v>
      </c>
      <c r="H18" s="557"/>
      <c r="I18" s="557"/>
      <c r="J18" s="557"/>
      <c r="K18" s="557"/>
      <c r="L18" s="289"/>
      <c r="M18" s="543"/>
      <c r="AH18" s="1631">
        <v>19</v>
      </c>
    </row>
    <row customHeight="1" ht="24">
      <c r="D19" s="1638"/>
      <c r="E19" s="1664" t="s">
        <v>740</v>
      </c>
      <c r="F19" s="1667" t="s">
        <v>814</v>
      </c>
      <c r="G19" s="1654" t="s">
        <v>555</v>
      </c>
      <c r="H19" s="557"/>
      <c r="I19" s="557"/>
      <c r="J19" s="557"/>
      <c r="K19" s="557"/>
      <c r="L19" s="289"/>
      <c r="M19" s="543"/>
      <c r="AH19" s="1631">
        <v>23</v>
      </c>
    </row>
    <row customHeight="1" ht="35.699999999999996">
      <c r="D20" s="1638"/>
      <c r="E20" s="1664" t="s">
        <v>312</v>
      </c>
      <c r="F20" s="1666" t="s">
        <v>815</v>
      </c>
      <c r="G20" s="1654" t="s">
        <v>555</v>
      </c>
      <c r="H20" s="557"/>
      <c r="I20" s="557"/>
      <c r="J20" s="557"/>
      <c r="K20" s="557"/>
      <c r="L20" s="289"/>
      <c r="M20" s="543"/>
      <c r="AH20" s="1631">
        <v>34</v>
      </c>
    </row>
    <row customHeight="1" ht="48.29999999999999">
      <c r="D21" s="1638"/>
      <c r="E21" s="1664" t="s">
        <v>315</v>
      </c>
      <c r="F21" s="1666" t="s">
        <v>816</v>
      </c>
      <c r="G21" s="1654" t="s">
        <v>555</v>
      </c>
      <c r="H21" s="557"/>
      <c r="I21" s="557"/>
      <c r="J21" s="557"/>
      <c r="K21" s="557"/>
      <c r="L21" s="289"/>
      <c r="M21" s="543"/>
      <c r="AH21" s="1631">
        <v>46</v>
      </c>
    </row>
    <row customHeight="1" ht="60">
      <c r="D22" s="1638"/>
      <c r="E22" s="1664" t="s">
        <v>754</v>
      </c>
      <c r="F22" s="1666" t="s">
        <v>817</v>
      </c>
      <c r="G22" s="1654" t="s">
        <v>555</v>
      </c>
      <c r="H22" s="557"/>
      <c r="I22" s="557"/>
      <c r="J22" s="557"/>
      <c r="K22" s="557"/>
      <c r="L22" s="289"/>
      <c r="M22" s="543"/>
      <c r="AH22" s="1631">
        <v>57</v>
      </c>
    </row>
    <row customHeight="1" ht="35.699999999999996">
      <c r="D23" s="1638"/>
      <c r="E23" s="1664" t="s">
        <v>761</v>
      </c>
      <c r="F23" s="1666" t="s">
        <v>818</v>
      </c>
      <c r="G23" s="1654" t="s">
        <v>555</v>
      </c>
      <c r="H23" s="557"/>
      <c r="I23" s="557"/>
      <c r="J23" s="557"/>
      <c r="K23" s="557"/>
      <c r="L23" s="289"/>
      <c r="M23" s="543"/>
      <c r="AH23" s="1631">
        <v>34</v>
      </c>
    </row>
    <row customHeight="1" ht="35.699999999999996">
      <c r="D24" s="1638"/>
      <c r="E24" s="1664" t="s">
        <v>763</v>
      </c>
      <c r="F24" s="1666" t="s">
        <v>819</v>
      </c>
      <c r="G24" s="1654" t="s">
        <v>555</v>
      </c>
      <c r="H24" s="557"/>
      <c r="I24" s="557"/>
      <c r="J24" s="557"/>
      <c r="K24" s="557"/>
      <c r="L24" s="289"/>
      <c r="M24" s="543"/>
      <c r="AH24" s="1631">
        <v>34</v>
      </c>
    </row>
    <row customHeight="1" ht="24">
      <c r="D25" s="1638"/>
      <c r="E25" s="1664" t="s">
        <v>765</v>
      </c>
      <c r="F25" s="1666" t="s">
        <v>820</v>
      </c>
      <c r="G25" s="1654" t="s">
        <v>555</v>
      </c>
      <c r="H25" s="557"/>
      <c r="I25" s="557"/>
      <c r="J25" s="557"/>
      <c r="K25" s="557"/>
      <c r="L25" s="289"/>
      <c r="M25" s="543"/>
      <c r="AH25" s="1631">
        <v>23</v>
      </c>
    </row>
    <row customHeight="1" ht="76.5">
      <c r="D26" s="1638"/>
      <c r="E26" s="1664" t="s">
        <v>767</v>
      </c>
      <c r="F26" s="1666" t="s">
        <v>821</v>
      </c>
      <c r="G26" s="1654" t="s">
        <v>555</v>
      </c>
      <c r="H26" s="557"/>
      <c r="I26" s="557"/>
      <c r="J26" s="557"/>
      <c r="K26" s="557"/>
      <c r="L26" s="289"/>
      <c r="M26" s="543"/>
      <c r="AH26" s="1631">
        <v>73</v>
      </c>
    </row>
    <row s="1366" customFormat="1" customHeight="1" ht="35.699999999999996">
      <c r="A27" s="987"/>
      <c r="C27" s="1636"/>
      <c r="D27" s="1638"/>
      <c r="E27" s="1629" t="s">
        <v>771</v>
      </c>
      <c r="F27" s="1628" t="s">
        <v>822</v>
      </c>
      <c r="G27" s="1655" t="s">
        <v>555</v>
      </c>
      <c r="H27" s="579">
        <f>SUM(H28:H29)</f>
        <v>0</v>
      </c>
      <c r="I27" s="579">
        <f>SUM(I28:I29)</f>
        <v>0</v>
      </c>
      <c r="J27" s="579">
        <f>SUM(J28:J29)</f>
        <v>0</v>
      </c>
      <c r="K27" s="579">
        <f>SUM(K28:K29)</f>
        <v>0</v>
      </c>
      <c r="L27" s="289" t="s">
        <v>769</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5" t="s">
        <v>591</v>
      </c>
      <c r="G29" s="572"/>
      <c r="H29" s="573"/>
      <c r="I29" s="573"/>
      <c r="J29" s="2674"/>
      <c r="K29" s="2675"/>
      <c r="L29" s="301" t="s">
        <v>770</v>
      </c>
      <c r="M29" s="543"/>
      <c r="N29" s="1636"/>
      <c r="O29" s="1636"/>
      <c r="T29" s="1636"/>
      <c r="W29" s="544"/>
      <c r="AC29" s="1632"/>
      <c r="AD29" s="1632"/>
      <c r="AE29" s="1632"/>
      <c r="AF29" s="1632"/>
      <c r="AG29" s="1632"/>
      <c r="AH29" s="1160">
        <v>19</v>
      </c>
    </row>
    <row customHeight="1" ht="76.5">
      <c r="B30" s="1366"/>
      <c r="D30" s="2075"/>
      <c r="E30" s="1664" t="s">
        <v>823</v>
      </c>
      <c r="F30" s="2083" t="s">
        <v>778</v>
      </c>
      <c r="G30" s="2074" t="s">
        <v>555</v>
      </c>
      <c r="H30" s="557"/>
      <c r="I30" s="557"/>
      <c r="J30" s="557"/>
      <c r="K30" s="557"/>
      <c r="L30" s="2081" t="s">
        <v>824</v>
      </c>
      <c r="M30" s="543"/>
      <c r="P30" s="1366"/>
      <c r="Q30" s="1366"/>
      <c r="R30" s="1366"/>
      <c r="S30" s="1366"/>
      <c r="U30" s="1366"/>
      <c r="V30" s="1366"/>
      <c r="X30" s="1366"/>
      <c r="Y30" s="1366"/>
      <c r="Z30" s="1366"/>
      <c r="AA30" s="1366"/>
      <c r="AB30" s="1366"/>
      <c r="AH30" s="1631">
        <v>73</v>
      </c>
    </row>
    <row s="1366" customFormat="1" customHeight="1" ht="24">
      <c r="A31" s="987"/>
      <c r="C31" s="1636"/>
      <c r="D31" s="1638"/>
      <c r="E31" s="1664" t="s">
        <v>91</v>
      </c>
      <c r="F31" s="1661" t="s">
        <v>825</v>
      </c>
      <c r="G31" s="1654" t="s">
        <v>555</v>
      </c>
      <c r="H31" s="557"/>
      <c r="I31" s="557"/>
      <c r="J31" s="557"/>
      <c r="K31" s="557"/>
      <c r="L31" s="289"/>
      <c r="M31" s="543"/>
      <c r="N31" s="1636"/>
      <c r="O31" s="1636"/>
      <c r="T31" s="1636"/>
      <c r="W31" s="544"/>
      <c r="AC31" s="1632"/>
      <c r="AD31" s="1632"/>
      <c r="AE31" s="1632"/>
      <c r="AF31" s="1632"/>
      <c r="AG31" s="1632"/>
      <c r="AH31" s="1160">
        <v>23</v>
      </c>
    </row>
    <row s="1366" customFormat="1" customHeight="1" ht="35.699999999999996">
      <c r="A32" s="987"/>
      <c r="C32" s="1636"/>
      <c r="D32" s="575"/>
      <c r="E32" s="1664" t="s">
        <v>92</v>
      </c>
      <c r="F32" s="1661" t="s">
        <v>826</v>
      </c>
      <c r="G32" s="1654" t="s">
        <v>555</v>
      </c>
      <c r="H32" s="557"/>
      <c r="I32" s="557"/>
      <c r="J32" s="557"/>
      <c r="K32" s="557"/>
      <c r="L32" s="289" t="s">
        <v>827</v>
      </c>
      <c r="M32" s="543"/>
      <c r="N32" s="1636"/>
      <c r="O32" s="1636"/>
      <c r="T32" s="1636"/>
      <c r="W32" s="544"/>
      <c r="AC32" s="1632"/>
      <c r="AD32" s="1632"/>
      <c r="AE32" s="1632"/>
      <c r="AF32" s="1632"/>
      <c r="AG32" s="1632"/>
      <c r="AH32" s="1160">
        <v>34</v>
      </c>
    </row>
    <row s="1366" customFormat="1" customHeight="1" ht="24">
      <c r="A33" s="987"/>
      <c r="C33" s="1636"/>
      <c r="D33" s="1638"/>
      <c r="E33" s="1664" t="s">
        <v>785</v>
      </c>
      <c r="F33" s="690" t="s">
        <v>789</v>
      </c>
      <c r="G33" s="1654" t="s">
        <v>555</v>
      </c>
      <c r="H33" s="557"/>
      <c r="I33" s="557"/>
      <c r="J33" s="557"/>
      <c r="K33" s="557"/>
      <c r="L33" s="289" t="s">
        <v>828</v>
      </c>
      <c r="M33" s="543"/>
      <c r="N33" s="1636"/>
      <c r="O33" s="1636"/>
      <c r="T33" s="1636"/>
      <c r="W33" s="544"/>
      <c r="AC33" s="1632"/>
      <c r="AD33" s="1632"/>
      <c r="AE33" s="1632"/>
      <c r="AF33" s="1632"/>
      <c r="AG33" s="1632"/>
      <c r="AH33" s="1160">
        <v>23</v>
      </c>
    </row>
    <row s="1366" customFormat="1" customHeight="1" ht="24">
      <c r="A34" s="987"/>
      <c r="C34" s="1636"/>
      <c r="D34" s="1638"/>
      <c r="E34" s="1664" t="s">
        <v>829</v>
      </c>
      <c r="F34" s="690" t="s">
        <v>830</v>
      </c>
      <c r="G34" s="1654" t="s">
        <v>555</v>
      </c>
      <c r="H34" s="557"/>
      <c r="I34" s="557"/>
      <c r="J34" s="557"/>
      <c r="K34" s="557"/>
      <c r="L34" s="289" t="s">
        <v>831</v>
      </c>
      <c r="M34" s="543"/>
      <c r="N34" s="1636"/>
      <c r="O34" s="1636"/>
      <c r="T34" s="1636"/>
      <c r="W34" s="544"/>
      <c r="AC34" s="1632"/>
      <c r="AD34" s="1632"/>
      <c r="AE34" s="1632"/>
      <c r="AF34" s="1632"/>
      <c r="AG34" s="1632"/>
      <c r="AH34" s="1160">
        <v>23</v>
      </c>
    </row>
    <row s="1366" customFormat="1" customHeight="1" ht="24">
      <c r="A35" s="987"/>
      <c r="C35" s="1636"/>
      <c r="D35" s="1638"/>
      <c r="E35" s="1664" t="s">
        <v>832</v>
      </c>
      <c r="F35" s="690" t="s">
        <v>795</v>
      </c>
      <c r="G35" s="1654" t="s">
        <v>555</v>
      </c>
      <c r="H35" s="557"/>
      <c r="I35" s="557"/>
      <c r="J35" s="557"/>
      <c r="K35" s="557"/>
      <c r="L35" s="289" t="s">
        <v>833</v>
      </c>
      <c r="M35" s="543"/>
      <c r="N35" s="1636"/>
      <c r="O35" s="1636"/>
      <c r="T35" s="1636"/>
      <c r="W35" s="544"/>
      <c r="AC35" s="1632"/>
      <c r="AD35" s="1632"/>
      <c r="AE35" s="1632"/>
      <c r="AF35" s="1632"/>
      <c r="AG35" s="1632"/>
      <c r="AH35" s="1160">
        <v>23</v>
      </c>
    </row>
    <row s="1366" customFormat="1" customHeight="1" ht="35.699999999999996">
      <c r="A36" s="987"/>
      <c r="C36" s="1636" t="s">
        <v>594</v>
      </c>
      <c r="D36" s="1638"/>
      <c r="E36" s="1664" t="s">
        <v>100</v>
      </c>
      <c r="F36" s="1661" t="s">
        <v>655</v>
      </c>
      <c r="G36" s="1657" t="s">
        <v>311</v>
      </c>
      <c r="H36" s="401"/>
      <c r="I36" s="401"/>
      <c r="J36" s="818"/>
      <c r="K36" s="818"/>
      <c r="L36" s="289" t="s">
        <v>834</v>
      </c>
      <c r="M36" s="543"/>
      <c r="N36" s="1636"/>
      <c r="O36" s="1636"/>
      <c r="T36" s="1636"/>
      <c r="W36" s="544"/>
      <c r="AC36" s="1632"/>
      <c r="AD36" s="1632"/>
      <c r="AE36" s="1632"/>
      <c r="AF36" s="1632"/>
      <c r="AG36" s="1632"/>
      <c r="AH36" s="1160">
        <v>34</v>
      </c>
    </row>
    <row s="1366" customFormat="1" customHeight="1" ht="35.699999999999996">
      <c r="A37" s="987"/>
      <c r="C37" s="1636"/>
      <c r="D37" s="1638"/>
      <c r="E37" s="1664" t="s">
        <v>93</v>
      </c>
      <c r="F37" s="1661" t="s">
        <v>835</v>
      </c>
      <c r="G37" s="1654" t="s">
        <v>800</v>
      </c>
      <c r="H37" s="2082"/>
      <c r="I37" s="2082"/>
      <c r="J37" s="2082"/>
      <c r="K37" s="2082"/>
      <c r="L37" s="289" t="s">
        <v>801</v>
      </c>
      <c r="M37" s="543"/>
      <c r="N37" s="1636"/>
      <c r="O37" s="1636"/>
      <c r="T37" s="1636"/>
      <c r="W37" s="544"/>
      <c r="AC37" s="1632"/>
      <c r="AD37" s="1632"/>
      <c r="AE37" s="1632"/>
      <c r="AF37" s="1632"/>
      <c r="AG37" s="1632"/>
      <c r="AH37" s="1160">
        <v>34</v>
      </c>
    </row>
    <row s="1366" customFormat="1" customHeight="1" ht="33.75">
      <c r="A38" s="987"/>
      <c r="C38" s="1636"/>
      <c r="D38" s="2075"/>
      <c r="E38" s="1664" t="s">
        <v>678</v>
      </c>
      <c r="F38" s="2083" t="s">
        <v>836</v>
      </c>
      <c r="G38" s="2074" t="s">
        <v>800</v>
      </c>
      <c r="H38" s="545"/>
      <c r="I38" s="545"/>
      <c r="J38" s="545"/>
      <c r="K38" s="545"/>
      <c r="L38" s="2081" t="s">
        <v>837</v>
      </c>
      <c r="M38" s="543"/>
      <c r="N38" s="1636"/>
      <c r="O38" s="1636"/>
      <c r="T38" s="1636"/>
      <c r="W38" s="544"/>
      <c r="AC38" s="1632"/>
      <c r="AD38" s="1632"/>
      <c r="AE38" s="1632"/>
      <c r="AF38" s="1632"/>
      <c r="AG38" s="1632"/>
    </row>
    <row s="1366" customFormat="1" customHeight="1" ht="33.75">
      <c r="A39" s="987"/>
      <c r="C39" s="1636"/>
      <c r="D39" s="2075"/>
      <c r="E39" s="1664" t="s">
        <v>682</v>
      </c>
      <c r="F39" s="2083" t="s">
        <v>838</v>
      </c>
      <c r="G39" s="2074" t="s">
        <v>800</v>
      </c>
      <c r="H39" s="545"/>
      <c r="I39" s="545"/>
      <c r="J39" s="545"/>
      <c r="K39" s="545"/>
      <c r="L39" s="2081" t="s">
        <v>839</v>
      </c>
      <c r="M39" s="543"/>
      <c r="N39" s="1636"/>
      <c r="O39" s="1636"/>
      <c r="T39" s="1636"/>
      <c r="W39" s="544"/>
      <c r="AC39" s="1632"/>
      <c r="AD39" s="1632"/>
      <c r="AE39" s="1632"/>
      <c r="AF39" s="1632"/>
      <c r="AG39" s="1632"/>
    </row>
    <row s="1366" customFormat="1" customHeight="1" ht="24">
      <c r="A40" s="987"/>
      <c r="C40" s="1636"/>
      <c r="D40" s="1638"/>
      <c r="E40" s="1664" t="s">
        <v>94</v>
      </c>
      <c r="F40" s="1661" t="s">
        <v>840</v>
      </c>
      <c r="G40" s="1654" t="s">
        <v>803</v>
      </c>
      <c r="H40" s="2082"/>
      <c r="I40" s="2082"/>
      <c r="J40" s="2082"/>
      <c r="K40" s="2082"/>
      <c r="L40" s="289" t="s">
        <v>804</v>
      </c>
      <c r="M40" s="543"/>
      <c r="N40" s="1636"/>
      <c r="O40" s="1636"/>
      <c r="T40" s="1636"/>
      <c r="W40" s="544"/>
      <c r="AC40" s="1632"/>
      <c r="AD40" s="1632"/>
      <c r="AE40" s="1632"/>
      <c r="AF40" s="1632"/>
      <c r="AG40" s="1632"/>
      <c r="AH40" s="1160">
        <v>23</v>
      </c>
    </row>
    <row s="1366" customFormat="1" customHeight="1" ht="24">
      <c r="A41" s="987"/>
      <c r="C41" s="1636"/>
      <c r="D41" s="2075"/>
      <c r="E41" s="1664" t="s">
        <v>841</v>
      </c>
      <c r="F41" s="2083" t="s">
        <v>842</v>
      </c>
      <c r="G41" s="2074" t="s">
        <v>803</v>
      </c>
      <c r="H41" s="545"/>
      <c r="I41" s="545"/>
      <c r="J41" s="545"/>
      <c r="K41" s="545"/>
      <c r="L41" s="2081" t="s">
        <v>843</v>
      </c>
      <c r="M41" s="543"/>
      <c r="N41" s="1636"/>
      <c r="O41" s="1636"/>
      <c r="T41" s="1636"/>
      <c r="W41" s="544"/>
      <c r="AC41" s="1632"/>
      <c r="AD41" s="1632"/>
      <c r="AE41" s="1632"/>
      <c r="AF41" s="1632"/>
      <c r="AG41" s="1632"/>
      <c r="AH41" s="1366">
        <v>23</v>
      </c>
    </row>
    <row s="1366" customFormat="1" customHeight="1" ht="24">
      <c r="A42" s="987"/>
      <c r="C42" s="1636"/>
      <c r="D42" s="2075"/>
      <c r="E42" s="1664" t="s">
        <v>844</v>
      </c>
      <c r="F42" s="2083" t="s">
        <v>845</v>
      </c>
      <c r="G42" s="2074" t="s">
        <v>803</v>
      </c>
      <c r="H42" s="545"/>
      <c r="I42" s="545"/>
      <c r="J42" s="545"/>
      <c r="K42" s="545"/>
      <c r="L42" s="2081" t="s">
        <v>846</v>
      </c>
      <c r="M42" s="543"/>
      <c r="N42" s="1636"/>
      <c r="O42" s="1636"/>
      <c r="T42" s="1636"/>
      <c r="W42" s="544"/>
      <c r="AC42" s="1632"/>
      <c r="AD42" s="1632"/>
      <c r="AE42" s="1632"/>
      <c r="AF42" s="1632"/>
      <c r="AG42" s="1632"/>
      <c r="AH42" s="1366">
        <v>23</v>
      </c>
    </row>
    <row customHeight="1" ht="11.549999999999999">
      <c r="D43" s="1638"/>
      <c r="J43" s="1635"/>
      <c r="K43" s="1635"/>
      <c r="AH43" s="1631">
        <v>11</v>
      </c>
    </row>
    <row customHeight="1" ht="27.299999999999997">
      <c r="D44" s="1638"/>
      <c r="E44" s="1253" t="s">
        <v>847</v>
      </c>
      <c r="F44" s="2304" t="s">
        <v>848</v>
      </c>
      <c r="G44" s="2304"/>
      <c r="H44" s="369"/>
      <c r="I44" s="369"/>
      <c r="J44" s="1686"/>
      <c r="K44" s="1686"/>
      <c r="L44" s="369"/>
      <c r="AH44" s="1631">
        <v>26</v>
      </c>
    </row>
    <row s="1641" customFormat="1" customHeight="1" ht="39.75">
      <c r="A45" s="987"/>
      <c r="B45" s="1636"/>
      <c r="C45" s="1636"/>
      <c r="D45" s="351"/>
      <c r="F45" s="2304" t="s">
        <v>849</v>
      </c>
      <c r="G45" s="2304"/>
      <c r="H45" s="369"/>
      <c r="I45" s="369"/>
      <c r="J45" s="1686"/>
      <c r="K45" s="1686"/>
      <c r="L45" s="369"/>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38</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H48" s="566"/>
      <c r="I48" s="566"/>
      <c r="J48" s="622"/>
      <c r="K48" s="622"/>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customHeight="1" ht="11.549999999999999">
      <c r="J201" s="1635"/>
      <c r="K201" s="1635"/>
      <c r="AH201" s="1631">
        <v>11</v>
      </c>
    </row>
    <row customHeight="1" ht="11.549999999999999">
      <c r="J202" s="1635"/>
      <c r="K202" s="1635"/>
      <c r="AH202" s="1631">
        <v>11</v>
      </c>
    </row>
    <row customHeight="1" ht="11.549999999999999">
      <c r="J203" s="1635"/>
      <c r="K203" s="1635"/>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25" hidden="1">
      <c r="A215" s="987" t="s">
        <v>83</v>
      </c>
      <c r="B215" s="1160">
        <v>0</v>
      </c>
      <c r="C215" s="1636">
        <v>0</v>
      </c>
      <c r="D215" s="1635">
        <v>3</v>
      </c>
      <c r="E215" s="1631">
        <v>7</v>
      </c>
      <c r="F215" s="1631">
        <v>54</v>
      </c>
      <c r="G215" s="1631">
        <v>10</v>
      </c>
      <c r="H215" s="1631">
        <v>0</v>
      </c>
      <c r="I215" s="1631">
        <v>40</v>
      </c>
      <c r="J215" s="1635">
        <v>0</v>
      </c>
      <c r="K215" s="1635">
        <v>0</v>
      </c>
      <c r="L215" s="1631">
        <v>102</v>
      </c>
      <c r="M215" s="1160">
        <v>9</v>
      </c>
      <c r="N215" s="1636">
        <v>5</v>
      </c>
      <c r="O215" s="1636">
        <v>3</v>
      </c>
      <c r="P215" s="1160">
        <v>3</v>
      </c>
      <c r="Q215" s="1160">
        <v>3</v>
      </c>
      <c r="R215" s="1160">
        <v>3</v>
      </c>
      <c r="S215" s="1160">
        <v>3</v>
      </c>
      <c r="T215" s="1636">
        <v>10</v>
      </c>
      <c r="U215" s="1160">
        <v>34</v>
      </c>
      <c r="V215" s="1160">
        <v>9</v>
      </c>
      <c r="W215" s="544">
        <v>8</v>
      </c>
      <c r="X215" s="1160">
        <v>8</v>
      </c>
      <c r="Y215" s="1160">
        <v>8</v>
      </c>
      <c r="Z215" s="1160">
        <v>8</v>
      </c>
      <c r="AA215" s="1160">
        <v>8</v>
      </c>
      <c r="AB215" s="1160">
        <v>8</v>
      </c>
      <c r="AC215" s="1632">
        <v>8</v>
      </c>
      <c r="AD215" s="1632">
        <v>8</v>
      </c>
      <c r="AE215" s="1632">
        <v>8</v>
      </c>
      <c r="AF215" s="1632">
        <v>8</v>
      </c>
      <c r="AG215" s="1632">
        <v>8</v>
      </c>
      <c r="AH215" s="1631">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C5A28-90B8-B578-BC79-6338B0435F7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35" sqref="M35"/>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8"/>
      <c r="F3" s="2259"/>
      <c r="K3" s="1635"/>
      <c r="L3" s="1635"/>
      <c r="M3" s="1635"/>
      <c r="N3" s="1635"/>
      <c r="AB3" s="505">
        <v>75</v>
      </c>
    </row>
    <row s="1635" customFormat="1" customHeight="1" ht="21">
      <c r="A4" s="951"/>
      <c r="B4" s="511"/>
      <c r="D4" s="2233" t="str">
        <f>IF(org=0,"Не определено",org)</f>
        <v>Муниципальное унитарное предприятие "Невельские коммунальные сети"</v>
      </c>
      <c r="E4" s="2234"/>
      <c r="F4" s="2235"/>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118</v>
      </c>
      <c r="J6" s="1022"/>
      <c r="K6" s="1022" t="s">
        <v>123</v>
      </c>
      <c r="L6" s="1022"/>
      <c r="M6" s="1022" t="s">
        <v>125</v>
      </c>
      <c r="N6" s="1022"/>
      <c r="AB6" s="505">
        <v>1</v>
      </c>
    </row>
    <row customHeight="1" ht="11.549999999999999">
      <c r="D7" s="711"/>
      <c r="E7" s="2386" t="s">
        <v>106</v>
      </c>
      <c r="F7" s="2387"/>
      <c r="G7" s="2412" t="str">
        <f>IF(G6="","",INDEX(DIFFERENTIATION_UNMERGE_VD,MATCH(G6,DIFFERENTIATION_ID_DIFF,0)))</f>
        <v/>
      </c>
      <c r="H7" s="2413"/>
      <c r="I7" s="2412" t="str">
        <f>IF(I6="","",INDEX(DIFFERENTIATION_UNMERGE_VD,MATCH(I6,DIFFERENTIATION_ID_DIFF,0)))</f>
        <v>Производство тепловой энергии. Некомбинированная выработка</v>
      </c>
      <c r="J7" s="2413"/>
      <c r="K7" s="2412" t="str">
        <f>IF(K6="","",INDEX(DIFFERENTIATION_UNMERGE_VD,MATCH(K6,DIFFERENTIATION_ID_DIFF,0)))</f>
        <v>Производство тепловой энергии. Некомбинированная выработка</v>
      </c>
      <c r="L7" s="2413"/>
      <c r="M7" s="2412" t="str">
        <f>IF(M6="","",INDEX(DIFFERENTIATION_UNMERGE_VD,MATCH(M6,DIFFERENTIATION_ID_DIFF,0)))</f>
        <v>Производство тепловой энергии. Некомбинированная выработка</v>
      </c>
      <c r="N7" s="2413"/>
      <c r="O7" s="2194"/>
      <c r="P7" s="509"/>
      <c r="AB7" s="505">
        <v>11</v>
      </c>
    </row>
    <row customHeight="1" ht="11.549999999999999">
      <c r="A8" s="704"/>
      <c r="D8" s="711"/>
      <c r="E8" s="2386" t="s">
        <v>567</v>
      </c>
      <c r="F8" s="2387"/>
      <c r="G8" s="2412" t="str">
        <f>IF(G6="","",INDEX(DIFFERENTIATION_UNMERGE_AREA,MATCH(G6,DIFFERENTIATION_ID_DIFF,0)))</f>
        <v/>
      </c>
      <c r="H8" s="2413"/>
      <c r="I8" s="2412" t="str">
        <f>IF(I6="","",INDEX(DIFFERENTIATION_UNMERGE_AREA,MATCH(I6,DIFFERENTIATION_ID_DIFF,0)))</f>
        <v>Территория 1</v>
      </c>
      <c r="J8" s="2413"/>
      <c r="K8" s="2412" t="str">
        <f>IF(K6="","",INDEX(DIFFERENTIATION_UNMERGE_AREA,MATCH(K6,DIFFERENTIATION_ID_DIFF,0)))</f>
        <v>Территория 1</v>
      </c>
      <c r="L8" s="2413"/>
      <c r="M8" s="2412" t="str">
        <f>IF(M6="","",INDEX(DIFFERENTIATION_UNMERGE_AREA,MATCH(M6,DIFFERENTIATION_ID_DIFF,0)))</f>
        <v>Территория 1</v>
      </c>
      <c r="N8" s="2413"/>
      <c r="O8" s="2218"/>
      <c r="P8" s="509"/>
      <c r="AB8" s="505">
        <v>11</v>
      </c>
    </row>
    <row customHeight="1" ht="11.549999999999999">
      <c r="A9" s="704"/>
      <c r="D9" s="711"/>
      <c r="E9" s="2386" t="s">
        <v>568</v>
      </c>
      <c r="F9" s="2387"/>
      <c r="G9" s="2412" t="str">
        <f>IF(G6="","",INDEX(DIFFERENTIATION_UNMERGE_SYSTEM,MATCH(G6,DIFFERENTIATION_ID_DIFF,0)))</f>
        <v/>
      </c>
      <c r="H9" s="2413"/>
      <c r="I9" s="2412" t="str">
        <f>IF(I6="","",INDEX(DIFFERENTIATION_UNMERGE_SYSTEM,MATCH(I6,DIFFERENTIATION_ID_DIFF,0)))</f>
        <v>Теплоснабжение за исключением сел Горнозаводск и Шебунино</v>
      </c>
      <c r="J9" s="2413"/>
      <c r="K9" s="2412" t="str">
        <f>IF(K6="","",INDEX(DIFFERENTIATION_UNMERGE_SYSTEM,MATCH(K6,DIFFERENTIATION_ID_DIFF,0)))</f>
        <v>Теплоснабжение с.Горнозаводск</v>
      </c>
      <c r="L9" s="2413"/>
      <c r="M9" s="2412" t="str">
        <f>IF(M6="","",INDEX(DIFFERENTIATION_UNMERGE_SYSTEM,MATCH(M6,DIFFERENTIATION_ID_DIFF,0)))</f>
        <v>Теплоснабжение с.Шебунино</v>
      </c>
      <c r="N9" s="2413"/>
      <c r="O9" s="2218"/>
      <c r="P9" s="509"/>
      <c r="AB9" s="505">
        <v>11</v>
      </c>
    </row>
    <row s="1635" customFormat="1" customHeight="1" ht="11.549999999999999">
      <c r="A10" s="1021"/>
      <c r="B10" s="511"/>
      <c r="D10" s="2120" t="s">
        <v>305</v>
      </c>
      <c r="E10" s="2121"/>
      <c r="F10" s="2121"/>
      <c r="G10" s="2121"/>
      <c r="H10" s="2121"/>
      <c r="I10" s="2121"/>
      <c r="J10" s="2122"/>
      <c r="K10" s="2288"/>
      <c r="L10" s="2288"/>
      <c r="M10" s="2288"/>
      <c r="N10" s="2288"/>
      <c r="O10" s="2218"/>
      <c r="P10" s="509"/>
      <c r="AB10" s="758">
        <v>11</v>
      </c>
    </row>
    <row s="1635" customFormat="1" customHeight="1" ht="24">
      <c r="A11" s="2404"/>
      <c r="B11" s="2404"/>
      <c r="C11" s="657"/>
      <c r="D11" s="703" t="s">
        <v>89</v>
      </c>
      <c r="E11" s="705" t="s">
        <v>850</v>
      </c>
      <c r="F11" s="705" t="s">
        <v>569</v>
      </c>
      <c r="G11" s="465" t="s">
        <v>308</v>
      </c>
      <c r="H11" s="465" t="s">
        <v>395</v>
      </c>
      <c r="I11" s="807" t="s">
        <v>308</v>
      </c>
      <c r="J11" s="808" t="s">
        <v>395</v>
      </c>
      <c r="K11" s="2331" t="s">
        <v>308</v>
      </c>
      <c r="L11" s="2331" t="s">
        <v>395</v>
      </c>
      <c r="M11" s="2331" t="s">
        <v>308</v>
      </c>
      <c r="N11" s="2331" t="s">
        <v>395</v>
      </c>
      <c r="O11" s="2251"/>
      <c r="P11" s="658"/>
      <c r="AB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2393" t="str">
        <f>K1&amp;".1"</f>
        <v>4.1</v>
      </c>
      <c r="L12" s="2393" t="str">
        <f>K1&amp;".2"</f>
        <v>4.2</v>
      </c>
      <c r="M12" s="2393" t="str">
        <f>M1&amp;".1"</f>
        <v>4.1</v>
      </c>
      <c r="N12" s="2393" t="str">
        <f>M1&amp;".2"</f>
        <v>4.2</v>
      </c>
      <c r="O12" s="1026"/>
      <c r="AB12" s="511">
        <v>10</v>
      </c>
    </row>
    <row customHeight="1" ht="22.5">
      <c r="A13" s="2411" t="s">
        <v>851</v>
      </c>
      <c r="D13" s="953" t="s">
        <v>110</v>
      </c>
      <c r="E13" s="279" t="s">
        <v>852</v>
      </c>
      <c r="F13" s="660" t="s">
        <v>853</v>
      </c>
      <c r="G13" s="557"/>
      <c r="H13" s="661"/>
      <c r="I13" s="557">
        <v>0</v>
      </c>
      <c r="J13" s="661"/>
      <c r="K13" s="557">
        <v>0</v>
      </c>
      <c r="L13" s="662"/>
      <c r="M13" s="557">
        <v>0</v>
      </c>
      <c r="N13" s="662"/>
      <c r="O13" s="289" t="s">
        <v>854</v>
      </c>
      <c r="P13" s="720"/>
      <c r="AB13" s="505">
        <v>0</v>
      </c>
    </row>
    <row customHeight="1" ht="22.5">
      <c r="A14" s="2411"/>
      <c r="D14" s="539" t="s">
        <v>111</v>
      </c>
      <c r="E14" s="279" t="s">
        <v>855</v>
      </c>
      <c r="F14" s="660" t="s">
        <v>856</v>
      </c>
      <c r="G14" s="557"/>
      <c r="H14" s="662"/>
      <c r="I14" s="557">
        <v>0</v>
      </c>
      <c r="J14" s="662"/>
      <c r="K14" s="557">
        <v>0</v>
      </c>
      <c r="L14" s="662"/>
      <c r="M14" s="557">
        <v>0</v>
      </c>
      <c r="N14" s="662"/>
      <c r="O14" s="289" t="s">
        <v>857</v>
      </c>
      <c r="P14" s="720"/>
      <c r="AB14" s="505">
        <v>0</v>
      </c>
    </row>
    <row s="1635" customFormat="1" customHeight="1" ht="78.75">
      <c r="A15" s="2411"/>
      <c r="B15" s="511"/>
      <c r="D15" s="953" t="s">
        <v>91</v>
      </c>
      <c r="E15" s="707" t="s">
        <v>858</v>
      </c>
      <c r="F15" s="950" t="s">
        <v>311</v>
      </c>
      <c r="G15" s="950" t="s">
        <v>311</v>
      </c>
      <c r="H15" s="106"/>
      <c r="I15" s="950" t="s">
        <v>311</v>
      </c>
      <c r="J15" s="106"/>
      <c r="K15" s="2331" t="s">
        <v>311</v>
      </c>
      <c r="L15" s="2520"/>
      <c r="M15" s="2331" t="s">
        <v>311</v>
      </c>
      <c r="N15" s="2520"/>
      <c r="O15" s="289" t="s">
        <v>859</v>
      </c>
      <c r="P15" s="720"/>
      <c r="AB15" s="758">
        <v>0</v>
      </c>
    </row>
    <row s="1635" customFormat="1" customHeight="1" ht="22.5">
      <c r="A16" s="2411"/>
      <c r="B16" s="511"/>
      <c r="D16" s="953" t="s">
        <v>329</v>
      </c>
      <c r="E16" s="954" t="s">
        <v>860</v>
      </c>
      <c r="F16" s="950" t="s">
        <v>861</v>
      </c>
      <c r="G16" s="817"/>
      <c r="H16" s="106"/>
      <c r="I16" s="817">
        <v>0</v>
      </c>
      <c r="J16" s="106"/>
      <c r="K16" s="817">
        <v>0</v>
      </c>
      <c r="L16" s="2520"/>
      <c r="M16" s="817">
        <v>0</v>
      </c>
      <c r="N16" s="2520"/>
      <c r="O16" s="289"/>
      <c r="P16" s="720"/>
      <c r="AB16" s="758">
        <v>0</v>
      </c>
    </row>
    <row s="1635" customFormat="1" customHeight="1" ht="22.5">
      <c r="A17" s="2411"/>
      <c r="B17" s="511"/>
      <c r="D17" s="953" t="s">
        <v>337</v>
      </c>
      <c r="E17" s="954" t="s">
        <v>862</v>
      </c>
      <c r="F17" s="950" t="s">
        <v>863</v>
      </c>
      <c r="G17" s="817"/>
      <c r="H17" s="106"/>
      <c r="I17" s="817">
        <v>0</v>
      </c>
      <c r="J17" s="106"/>
      <c r="K17" s="817">
        <v>0</v>
      </c>
      <c r="L17" s="2520"/>
      <c r="M17" s="817">
        <v>0</v>
      </c>
      <c r="N17" s="2520"/>
      <c r="O17" s="289"/>
      <c r="P17" s="720"/>
      <c r="AB17" s="758">
        <v>0</v>
      </c>
    </row>
    <row s="1635" customFormat="1" customHeight="1" ht="33.75">
      <c r="A18" s="2411"/>
      <c r="B18" s="511"/>
      <c r="D18" s="953" t="s">
        <v>339</v>
      </c>
      <c r="E18" s="954" t="s">
        <v>864</v>
      </c>
      <c r="F18" s="950" t="s">
        <v>580</v>
      </c>
      <c r="G18" s="680"/>
      <c r="H18" s="106"/>
      <c r="I18" s="680">
        <v>0</v>
      </c>
      <c r="J18" s="106"/>
      <c r="K18" s="680">
        <v>0</v>
      </c>
      <c r="L18" s="2520"/>
      <c r="M18" s="680">
        <v>0</v>
      </c>
      <c r="N18" s="2520"/>
      <c r="O18" s="289"/>
      <c r="P18" s="720"/>
      <c r="AB18" s="758">
        <v>0</v>
      </c>
    </row>
    <row customHeight="1" ht="101.25">
      <c r="A19" s="2411"/>
      <c r="D19" s="953" t="s">
        <v>92</v>
      </c>
      <c r="E19" s="279" t="s">
        <v>865</v>
      </c>
      <c r="F19" s="660" t="s">
        <v>549</v>
      </c>
      <c r="G19" s="663"/>
      <c r="H19" s="662"/>
      <c r="I19" s="2536" t="s">
        <v>866</v>
      </c>
      <c r="J19" s="662"/>
      <c r="K19" s="2536" t="s">
        <v>867</v>
      </c>
      <c r="L19" s="662"/>
      <c r="M19" s="2536" t="s">
        <v>867</v>
      </c>
      <c r="N19" s="662"/>
      <c r="O19" s="289" t="s">
        <v>868</v>
      </c>
      <c r="P19" s="720"/>
      <c r="AB19" s="505">
        <v>0</v>
      </c>
    </row>
    <row s="1635" customFormat="1" customHeight="1" ht="18.75">
      <c r="A20" s="2411"/>
      <c r="C20" s="956"/>
      <c r="D20" s="953" t="s">
        <v>785</v>
      </c>
      <c r="E20" s="954" t="s">
        <v>869</v>
      </c>
      <c r="F20" s="950" t="s">
        <v>311</v>
      </c>
      <c r="G20" s="950" t="s">
        <v>311</v>
      </c>
      <c r="H20" s="949" t="s">
        <v>311</v>
      </c>
      <c r="I20" s="950" t="s">
        <v>311</v>
      </c>
      <c r="J20" s="949" t="s">
        <v>311</v>
      </c>
      <c r="K20" s="2331" t="s">
        <v>311</v>
      </c>
      <c r="L20" s="2279" t="s">
        <v>311</v>
      </c>
      <c r="M20" s="2331" t="s">
        <v>311</v>
      </c>
      <c r="N20" s="2279" t="s">
        <v>311</v>
      </c>
      <c r="O20" s="948"/>
      <c r="P20" s="720"/>
      <c r="AA20" s="675"/>
      <c r="AB20" s="758">
        <v>0</v>
      </c>
    </row>
    <row s="1635" customFormat="1" customHeight="1" ht="33.75">
      <c r="A21" s="2411"/>
      <c r="C21" s="956"/>
      <c r="D21" s="953" t="s">
        <v>788</v>
      </c>
      <c r="E21" s="576" t="s">
        <v>870</v>
      </c>
      <c r="F21" s="950" t="s">
        <v>871</v>
      </c>
      <c r="G21" s="680"/>
      <c r="H21" s="106"/>
      <c r="I21" s="680">
        <v>0</v>
      </c>
      <c r="J21" s="106"/>
      <c r="K21" s="680">
        <v>0</v>
      </c>
      <c r="L21" s="2520"/>
      <c r="M21" s="680">
        <v>0</v>
      </c>
      <c r="N21" s="2520"/>
      <c r="O21" s="948"/>
      <c r="P21" s="720"/>
      <c r="AA21" s="675"/>
      <c r="AB21" s="758">
        <v>0</v>
      </c>
    </row>
    <row s="1635" customFormat="1" customHeight="1" ht="33.75">
      <c r="A22" s="2411"/>
      <c r="C22" s="956"/>
      <c r="D22" s="953" t="s">
        <v>791</v>
      </c>
      <c r="E22" s="576" t="s">
        <v>872</v>
      </c>
      <c r="F22" s="950" t="s">
        <v>873</v>
      </c>
      <c r="G22" s="680"/>
      <c r="H22" s="106"/>
      <c r="I22" s="680">
        <v>0</v>
      </c>
      <c r="J22" s="106"/>
      <c r="K22" s="680">
        <v>0</v>
      </c>
      <c r="L22" s="2520"/>
      <c r="M22" s="680">
        <v>0</v>
      </c>
      <c r="N22" s="2520"/>
      <c r="O22" s="948"/>
      <c r="P22" s="720"/>
      <c r="AA22" s="675"/>
      <c r="AB22" s="758">
        <v>0</v>
      </c>
    </row>
    <row s="1635" customFormat="1" customHeight="1" ht="22.5">
      <c r="A23" s="2411"/>
      <c r="C23" s="956"/>
      <c r="D23" s="953" t="s">
        <v>829</v>
      </c>
      <c r="E23" s="954" t="s">
        <v>874</v>
      </c>
      <c r="F23" s="950" t="s">
        <v>311</v>
      </c>
      <c r="G23" s="950" t="s">
        <v>311</v>
      </c>
      <c r="H23" s="949" t="s">
        <v>311</v>
      </c>
      <c r="I23" s="950" t="s">
        <v>311</v>
      </c>
      <c r="J23" s="949" t="s">
        <v>311</v>
      </c>
      <c r="K23" s="2331" t="s">
        <v>311</v>
      </c>
      <c r="L23" s="2279" t="s">
        <v>311</v>
      </c>
      <c r="M23" s="2331" t="s">
        <v>311</v>
      </c>
      <c r="N23" s="2279" t="s">
        <v>311</v>
      </c>
      <c r="O23" s="948"/>
      <c r="P23" s="720"/>
      <c r="AA23" s="675"/>
      <c r="AB23" s="758">
        <v>0</v>
      </c>
    </row>
    <row s="1635" customFormat="1" customHeight="1" ht="22.5">
      <c r="A24" s="2411"/>
      <c r="C24" s="956"/>
      <c r="D24" s="953" t="s">
        <v>875</v>
      </c>
      <c r="E24" s="576" t="s">
        <v>876</v>
      </c>
      <c r="F24" s="950" t="s">
        <v>877</v>
      </c>
      <c r="G24" s="680"/>
      <c r="H24" s="686"/>
      <c r="I24" s="680">
        <v>0.182</v>
      </c>
      <c r="J24" s="686"/>
      <c r="K24" s="680">
        <v>0.201</v>
      </c>
      <c r="L24" s="2372"/>
      <c r="M24" s="680">
        <v>0.234</v>
      </c>
      <c r="N24" s="2372"/>
      <c r="O24" s="948"/>
      <c r="P24" s="720"/>
      <c r="AA24" s="675"/>
      <c r="AB24" s="758">
        <v>0</v>
      </c>
    </row>
    <row s="1635" customFormat="1" customHeight="1" ht="22.5">
      <c r="A25" s="2411"/>
      <c r="C25" s="956"/>
      <c r="D25" s="953" t="s">
        <v>878</v>
      </c>
      <c r="E25" s="576" t="s">
        <v>879</v>
      </c>
      <c r="F25" s="950" t="s">
        <v>311</v>
      </c>
      <c r="G25" s="950" t="s">
        <v>311</v>
      </c>
      <c r="H25" s="949" t="s">
        <v>311</v>
      </c>
      <c r="I25" s="950" t="s">
        <v>311</v>
      </c>
      <c r="J25" s="949" t="s">
        <v>311</v>
      </c>
      <c r="K25" s="2331" t="s">
        <v>311</v>
      </c>
      <c r="L25" s="2279" t="s">
        <v>311</v>
      </c>
      <c r="M25" s="2331" t="s">
        <v>311</v>
      </c>
      <c r="N25" s="2279" t="s">
        <v>311</v>
      </c>
      <c r="O25" s="948"/>
      <c r="P25" s="720"/>
      <c r="AA25" s="675"/>
      <c r="AB25" s="758">
        <v>0</v>
      </c>
    </row>
    <row s="1635" customFormat="1" customHeight="1" ht="18.75">
      <c r="A26" s="2411"/>
      <c r="C26" s="956"/>
      <c r="D26" s="953" t="s">
        <v>880</v>
      </c>
      <c r="E26" s="553" t="s">
        <v>881</v>
      </c>
      <c r="F26" s="950" t="s">
        <v>882</v>
      </c>
      <c r="G26" s="680"/>
      <c r="H26" s="686"/>
      <c r="I26" s="680">
        <v>1.498</v>
      </c>
      <c r="J26" s="686"/>
      <c r="K26" s="680">
        <v>1.05</v>
      </c>
      <c r="L26" s="2372"/>
      <c r="M26" s="680">
        <v>1.056</v>
      </c>
      <c r="N26" s="2372"/>
      <c r="O26" s="948"/>
      <c r="P26" s="720"/>
      <c r="AA26" s="675"/>
      <c r="AB26" s="758">
        <v>0</v>
      </c>
    </row>
    <row s="1635" customFormat="1" customHeight="1" ht="18.75">
      <c r="A27" s="2411"/>
      <c r="C27" s="956"/>
      <c r="D27" s="953" t="s">
        <v>883</v>
      </c>
      <c r="E27" s="553" t="s">
        <v>884</v>
      </c>
      <c r="F27" s="950" t="s">
        <v>885</v>
      </c>
      <c r="G27" s="680"/>
      <c r="H27" s="686"/>
      <c r="I27" s="680">
        <v>0</v>
      </c>
      <c r="J27" s="686"/>
      <c r="K27" s="680">
        <v>0</v>
      </c>
      <c r="L27" s="2372"/>
      <c r="M27" s="680">
        <v>0</v>
      </c>
      <c r="N27" s="2372"/>
      <c r="O27" s="948"/>
      <c r="P27" s="720"/>
      <c r="AA27" s="675"/>
      <c r="AB27" s="758">
        <v>0</v>
      </c>
    </row>
    <row s="1635" customFormat="1" customHeight="1" ht="18.75">
      <c r="A28" s="2411"/>
      <c r="C28" s="956"/>
      <c r="D28" s="953" t="s">
        <v>886</v>
      </c>
      <c r="E28" s="576" t="s">
        <v>887</v>
      </c>
      <c r="F28" s="950" t="s">
        <v>311</v>
      </c>
      <c r="G28" s="950" t="s">
        <v>311</v>
      </c>
      <c r="H28" s="949" t="s">
        <v>311</v>
      </c>
      <c r="I28" s="950" t="s">
        <v>311</v>
      </c>
      <c r="J28" s="949" t="s">
        <v>311</v>
      </c>
      <c r="K28" s="2331" t="s">
        <v>311</v>
      </c>
      <c r="L28" s="2279" t="s">
        <v>311</v>
      </c>
      <c r="M28" s="2331" t="s">
        <v>311</v>
      </c>
      <c r="N28" s="2279" t="s">
        <v>311</v>
      </c>
      <c r="O28" s="948"/>
      <c r="P28" s="720"/>
      <c r="AA28" s="675"/>
      <c r="AB28" s="758">
        <v>0</v>
      </c>
    </row>
    <row s="1635" customFormat="1" customHeight="1" ht="18.75">
      <c r="A29" s="2411"/>
      <c r="C29" s="956"/>
      <c r="D29" s="953" t="s">
        <v>888</v>
      </c>
      <c r="E29" s="553" t="s">
        <v>881</v>
      </c>
      <c r="F29" s="950" t="s">
        <v>889</v>
      </c>
      <c r="G29" s="680"/>
      <c r="H29" s="686"/>
      <c r="I29" s="680">
        <v>16836.977</v>
      </c>
      <c r="J29" s="686"/>
      <c r="K29" s="680">
        <v>2736.234</v>
      </c>
      <c r="L29" s="2372"/>
      <c r="M29" s="680">
        <v>474.12</v>
      </c>
      <c r="N29" s="2372"/>
      <c r="O29" s="948"/>
      <c r="P29" s="720"/>
      <c r="AA29" s="675"/>
      <c r="AB29" s="758">
        <v>0</v>
      </c>
    </row>
    <row s="1635" customFormat="1" customHeight="1" ht="18.75">
      <c r="A30" s="2411"/>
      <c r="C30" s="956"/>
      <c r="D30" s="953" t="s">
        <v>890</v>
      </c>
      <c r="E30" s="553" t="s">
        <v>891</v>
      </c>
      <c r="F30" s="950" t="s">
        <v>892</v>
      </c>
      <c r="G30" s="680"/>
      <c r="H30" s="686"/>
      <c r="I30" s="680">
        <v>0</v>
      </c>
      <c r="J30" s="686"/>
      <c r="K30" s="680">
        <v>0</v>
      </c>
      <c r="L30" s="2372"/>
      <c r="M30" s="680">
        <v>0</v>
      </c>
      <c r="N30" s="2372"/>
      <c r="O30" s="948"/>
      <c r="P30" s="720"/>
      <c r="AA30" s="675"/>
      <c r="AB30" s="758">
        <v>0</v>
      </c>
    </row>
    <row customHeight="1" ht="126.75">
      <c r="A31" s="2411"/>
      <c r="D31" s="953" t="s">
        <v>100</v>
      </c>
      <c r="E31" s="279" t="s">
        <v>893</v>
      </c>
      <c r="F31" s="660" t="s">
        <v>561</v>
      </c>
      <c r="G31" s="557"/>
      <c r="H31" s="662"/>
      <c r="I31" s="557">
        <v>0</v>
      </c>
      <c r="J31" s="662"/>
      <c r="K31" s="557">
        <v>0</v>
      </c>
      <c r="L31" s="662"/>
      <c r="M31" s="557">
        <v>0</v>
      </c>
      <c r="N31" s="662"/>
      <c r="O31" s="289" t="s">
        <v>894</v>
      </c>
      <c r="P31" s="720"/>
      <c r="AB31" s="505">
        <v>0</v>
      </c>
    </row>
    <row customHeight="1" ht="56.25">
      <c r="A32" s="2411"/>
      <c r="D32" s="953" t="s">
        <v>93</v>
      </c>
      <c r="E32" s="279" t="s">
        <v>895</v>
      </c>
      <c r="F32" s="539" t="s">
        <v>863</v>
      </c>
      <c r="G32" s="557"/>
      <c r="H32" s="662"/>
      <c r="I32" s="557">
        <v>6</v>
      </c>
      <c r="J32" s="662"/>
      <c r="K32" s="557">
        <v>6</v>
      </c>
      <c r="L32" s="662"/>
      <c r="M32" s="557">
        <v>6</v>
      </c>
      <c r="N32" s="662"/>
      <c r="O32" s="289" t="s">
        <v>896</v>
      </c>
      <c r="P32" s="720"/>
      <c r="AB32" s="505">
        <v>0</v>
      </c>
    </row>
    <row customHeight="1" ht="11.25">
      <c r="A33" s="2411"/>
      <c r="E33" s="664"/>
      <c r="F33" s="181"/>
      <c r="G33" s="181"/>
      <c r="H33" s="181"/>
      <c r="I33" s="181"/>
      <c r="J33" s="181"/>
      <c r="K33" s="1064"/>
      <c r="L33" s="1064"/>
      <c r="M33" s="1064"/>
      <c r="N33" s="1064"/>
      <c r="O33" s="181"/>
      <c r="AB33" s="505">
        <v>0</v>
      </c>
    </row>
    <row customHeight="1" ht="12.75">
      <c r="A34" s="2411"/>
      <c r="D34" s="65">
        <v>1</v>
      </c>
      <c r="E34" s="335" t="s">
        <v>897</v>
      </c>
      <c r="K34" s="1635"/>
      <c r="L34" s="1635"/>
      <c r="M34" s="1635"/>
      <c r="N34" s="1635"/>
      <c r="AB34" s="505">
        <v>0</v>
      </c>
    </row>
    <row customHeight="1" ht="11.25">
      <c r="A35" s="2411"/>
      <c r="D35" s="369"/>
      <c r="E35" s="335" t="s">
        <v>898</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411" t="s">
        <v>899</v>
      </c>
      <c r="B37" s="511"/>
      <c r="D37" s="953">
        <v>1</v>
      </c>
      <c r="E37" s="707" t="s">
        <v>900</v>
      </c>
      <c r="F37" s="660" t="s">
        <v>853</v>
      </c>
      <c r="G37" s="557"/>
      <c r="H37" s="519"/>
      <c r="I37" s="557"/>
      <c r="J37" s="519"/>
      <c r="K37" s="557"/>
      <c r="L37" s="519"/>
      <c r="M37" s="557"/>
      <c r="N37" s="519"/>
      <c r="O37" s="289" t="s">
        <v>901</v>
      </c>
      <c r="AB37" s="758">
        <v>0</v>
      </c>
    </row>
    <row s="1635" customFormat="1" customHeight="1" ht="22.5" hidden="1">
      <c r="A38" s="2411"/>
      <c r="B38" s="511"/>
      <c r="D38" s="669" t="s">
        <v>111</v>
      </c>
      <c r="E38" s="1032" t="s">
        <v>902</v>
      </c>
      <c r="F38" s="1036" t="s">
        <v>549</v>
      </c>
      <c r="G38" s="1036" t="s">
        <v>549</v>
      </c>
      <c r="H38" s="1030"/>
      <c r="I38" s="1036" t="s">
        <v>549</v>
      </c>
      <c r="J38" s="1030"/>
      <c r="K38" s="1036" t="s">
        <v>549</v>
      </c>
      <c r="L38" s="1030"/>
      <c r="M38" s="1036" t="s">
        <v>549</v>
      </c>
      <c r="N38" s="1030"/>
      <c r="O38" s="1031"/>
      <c r="AB38" s="758">
        <v>0</v>
      </c>
    </row>
    <row s="1635" customFormat="1" customHeight="1" ht="33.75" hidden="1">
      <c r="A39" s="2411"/>
      <c r="B39" s="511"/>
      <c r="D39" s="665" t="s">
        <v>737</v>
      </c>
      <c r="E39" s="723" t="s">
        <v>903</v>
      </c>
      <c r="F39" s="660" t="s">
        <v>904</v>
      </c>
      <c r="G39" s="668"/>
      <c r="H39" s="1023"/>
      <c r="I39" s="668"/>
      <c r="J39" s="1023"/>
      <c r="K39" s="1169"/>
      <c r="L39" s="1023"/>
      <c r="M39" s="1169"/>
      <c r="N39" s="1023"/>
      <c r="O39" s="289" t="s">
        <v>905</v>
      </c>
      <c r="AB39" s="758">
        <v>0</v>
      </c>
    </row>
    <row s="1635" customFormat="1" customHeight="1" ht="33.75" hidden="1">
      <c r="A40" s="2411"/>
      <c r="B40" s="511"/>
      <c r="D40" s="665" t="s">
        <v>740</v>
      </c>
      <c r="E40" s="723" t="s">
        <v>906</v>
      </c>
      <c r="F40" s="1027" t="s">
        <v>907</v>
      </c>
      <c r="G40" s="741"/>
      <c r="H40" s="1023"/>
      <c r="I40" s="741"/>
      <c r="J40" s="1023"/>
      <c r="K40" s="741"/>
      <c r="L40" s="1023"/>
      <c r="M40" s="741"/>
      <c r="N40" s="1023"/>
      <c r="O40" s="289" t="s">
        <v>908</v>
      </c>
      <c r="AB40" s="758">
        <v>0</v>
      </c>
    </row>
    <row s="1635" customFormat="1" customHeight="1" ht="22.5" hidden="1">
      <c r="A41" s="2411"/>
      <c r="B41" s="511"/>
      <c r="D41" s="665" t="s">
        <v>91</v>
      </c>
      <c r="E41" s="722" t="s">
        <v>909</v>
      </c>
      <c r="F41" s="660" t="s">
        <v>549</v>
      </c>
      <c r="G41" s="660" t="s">
        <v>549</v>
      </c>
      <c r="H41" s="1024"/>
      <c r="I41" s="660" t="s">
        <v>549</v>
      </c>
      <c r="J41" s="1024"/>
      <c r="K41" s="2123" t="s">
        <v>549</v>
      </c>
      <c r="L41" s="1024"/>
      <c r="M41" s="2123" t="s">
        <v>549</v>
      </c>
      <c r="N41" s="1024"/>
      <c r="O41" s="302"/>
      <c r="AB41" s="758">
        <v>0</v>
      </c>
    </row>
    <row s="1635" customFormat="1" customHeight="1" ht="45" hidden="1">
      <c r="A42" s="2411"/>
      <c r="B42" s="511"/>
      <c r="D42" s="665" t="s">
        <v>329</v>
      </c>
      <c r="E42" s="723" t="s">
        <v>910</v>
      </c>
      <c r="F42" s="660" t="s">
        <v>561</v>
      </c>
      <c r="G42" s="557"/>
      <c r="H42" s="1024"/>
      <c r="I42" s="557"/>
      <c r="J42" s="1024"/>
      <c r="K42" s="557"/>
      <c r="L42" s="1024"/>
      <c r="M42" s="557"/>
      <c r="N42" s="1024"/>
      <c r="O42" s="302" t="s">
        <v>911</v>
      </c>
      <c r="AB42" s="758">
        <v>0</v>
      </c>
    </row>
    <row s="1635" customFormat="1" customHeight="1" ht="45" hidden="1">
      <c r="A43" s="2411"/>
      <c r="B43" s="511"/>
      <c r="D43" s="665" t="s">
        <v>337</v>
      </c>
      <c r="E43" s="667" t="s">
        <v>912</v>
      </c>
      <c r="F43" s="1028" t="s">
        <v>561</v>
      </c>
      <c r="G43" s="742"/>
      <c r="H43" s="1023"/>
      <c r="I43" s="742"/>
      <c r="J43" s="1023"/>
      <c r="K43" s="742"/>
      <c r="L43" s="1023"/>
      <c r="M43" s="742"/>
      <c r="N43" s="1023"/>
      <c r="O43" s="302" t="s">
        <v>913</v>
      </c>
      <c r="AB43" s="758">
        <v>0</v>
      </c>
    </row>
    <row s="1635" customFormat="1" customHeight="1" ht="11.25" hidden="1">
      <c r="A44" s="2411"/>
      <c r="B44" s="511"/>
      <c r="D44" s="665" t="s">
        <v>92</v>
      </c>
      <c r="E44" s="666" t="s">
        <v>914</v>
      </c>
      <c r="F44" s="660" t="s">
        <v>904</v>
      </c>
      <c r="G44" s="668"/>
      <c r="H44" s="1023"/>
      <c r="I44" s="668"/>
      <c r="J44" s="1023"/>
      <c r="K44" s="1169"/>
      <c r="L44" s="1023"/>
      <c r="M44" s="1169"/>
      <c r="N44" s="1023"/>
      <c r="O44" s="289"/>
      <c r="AB44" s="758">
        <v>0</v>
      </c>
    </row>
    <row s="1635" customFormat="1" customHeight="1" ht="11.25" hidden="1">
      <c r="A45" s="2411"/>
      <c r="B45" s="511"/>
      <c r="D45" s="665" t="s">
        <v>785</v>
      </c>
      <c r="E45" s="667" t="s">
        <v>915</v>
      </c>
      <c r="F45" s="660" t="s">
        <v>904</v>
      </c>
      <c r="G45" s="668"/>
      <c r="H45" s="1023"/>
      <c r="I45" s="668"/>
      <c r="J45" s="1023"/>
      <c r="K45" s="1169"/>
      <c r="L45" s="1023"/>
      <c r="M45" s="1169"/>
      <c r="N45" s="1023"/>
      <c r="O45" s="289"/>
      <c r="AB45" s="758">
        <v>0</v>
      </c>
    </row>
    <row s="1635" customFormat="1" customHeight="1" ht="11.25" hidden="1">
      <c r="A46" s="2411"/>
      <c r="B46" s="511"/>
      <c r="D46" s="665" t="s">
        <v>829</v>
      </c>
      <c r="E46" s="667" t="s">
        <v>916</v>
      </c>
      <c r="F46" s="660" t="s">
        <v>904</v>
      </c>
      <c r="G46" s="668"/>
      <c r="H46" s="1023"/>
      <c r="I46" s="668"/>
      <c r="J46" s="1023"/>
      <c r="K46" s="1169"/>
      <c r="L46" s="1023"/>
      <c r="M46" s="1169"/>
      <c r="N46" s="1023"/>
      <c r="O46" s="289"/>
      <c r="AB46" s="758">
        <v>0</v>
      </c>
    </row>
    <row s="1635" customFormat="1" customHeight="1" ht="11.25" hidden="1">
      <c r="A47" s="2411"/>
      <c r="B47" s="511"/>
      <c r="D47" s="665" t="s">
        <v>832</v>
      </c>
      <c r="E47" s="667" t="s">
        <v>917</v>
      </c>
      <c r="F47" s="660" t="s">
        <v>904</v>
      </c>
      <c r="G47" s="668"/>
      <c r="H47" s="1023"/>
      <c r="I47" s="668"/>
      <c r="J47" s="1023"/>
      <c r="K47" s="1169"/>
      <c r="L47" s="1023"/>
      <c r="M47" s="1169"/>
      <c r="N47" s="1023"/>
      <c r="O47" s="289"/>
      <c r="AB47" s="758">
        <v>0</v>
      </c>
    </row>
    <row s="1635" customFormat="1" customHeight="1" ht="11.25" hidden="1">
      <c r="A48" s="2411"/>
      <c r="B48" s="511"/>
      <c r="D48" s="665" t="s">
        <v>918</v>
      </c>
      <c r="E48" s="671" t="s">
        <v>919</v>
      </c>
      <c r="F48" s="660" t="s">
        <v>904</v>
      </c>
      <c r="G48" s="668"/>
      <c r="H48" s="1023"/>
      <c r="I48" s="668"/>
      <c r="J48" s="1023"/>
      <c r="K48" s="1169"/>
      <c r="L48" s="1023"/>
      <c r="M48" s="1169"/>
      <c r="N48" s="1023"/>
      <c r="O48" s="289"/>
      <c r="AB48" s="758">
        <v>0</v>
      </c>
    </row>
    <row s="1635" customFormat="1" customHeight="1" ht="11.25" hidden="1">
      <c r="A49" s="2411"/>
      <c r="B49" s="511"/>
      <c r="D49" s="665" t="s">
        <v>920</v>
      </c>
      <c r="E49" s="671" t="s">
        <v>921</v>
      </c>
      <c r="F49" s="660" t="s">
        <v>904</v>
      </c>
      <c r="G49" s="668"/>
      <c r="H49" s="1023"/>
      <c r="I49" s="668"/>
      <c r="J49" s="1023"/>
      <c r="K49" s="1169"/>
      <c r="L49" s="1023"/>
      <c r="M49" s="1169"/>
      <c r="N49" s="1023"/>
      <c r="O49" s="289"/>
      <c r="AB49" s="758">
        <v>0</v>
      </c>
    </row>
    <row s="1635" customFormat="1" customHeight="1" ht="11.25" hidden="1">
      <c r="A50" s="2411"/>
      <c r="B50" s="511"/>
      <c r="D50" s="665" t="s">
        <v>922</v>
      </c>
      <c r="E50" s="667" t="s">
        <v>923</v>
      </c>
      <c r="F50" s="660" t="s">
        <v>904</v>
      </c>
      <c r="G50" s="668"/>
      <c r="H50" s="1023"/>
      <c r="I50" s="668"/>
      <c r="J50" s="1023"/>
      <c r="K50" s="1169"/>
      <c r="L50" s="1023"/>
      <c r="M50" s="1169"/>
      <c r="N50" s="1023"/>
      <c r="O50" s="289"/>
      <c r="AB50" s="758">
        <v>0</v>
      </c>
    </row>
    <row s="1635" customFormat="1" customHeight="1" ht="11.25" hidden="1">
      <c r="A51" s="2411"/>
      <c r="B51" s="511"/>
      <c r="D51" s="665" t="s">
        <v>924</v>
      </c>
      <c r="E51" s="667" t="s">
        <v>925</v>
      </c>
      <c r="F51" s="660" t="s">
        <v>904</v>
      </c>
      <c r="G51" s="668"/>
      <c r="H51" s="1023"/>
      <c r="I51" s="668"/>
      <c r="J51" s="1023"/>
      <c r="K51" s="1169"/>
      <c r="L51" s="1023"/>
      <c r="M51" s="1169"/>
      <c r="N51" s="1023"/>
      <c r="O51" s="289"/>
      <c r="AB51" s="758">
        <v>0</v>
      </c>
    </row>
    <row s="1635" customFormat="1" customHeight="1" ht="45" hidden="1">
      <c r="A52" s="2411"/>
      <c r="B52" s="511"/>
      <c r="D52" s="665" t="s">
        <v>100</v>
      </c>
      <c r="E52" s="666" t="s">
        <v>926</v>
      </c>
      <c r="F52" s="660" t="s">
        <v>904</v>
      </c>
      <c r="G52" s="668"/>
      <c r="H52" s="1023"/>
      <c r="I52" s="668"/>
      <c r="J52" s="1023"/>
      <c r="K52" s="1169"/>
      <c r="L52" s="1023"/>
      <c r="M52" s="1169"/>
      <c r="N52" s="1023"/>
      <c r="O52" s="289"/>
      <c r="AB52" s="758">
        <v>0</v>
      </c>
    </row>
    <row s="1635" customFormat="1" customHeight="1" ht="11.25" hidden="1">
      <c r="A53" s="2411"/>
      <c r="B53" s="511"/>
      <c r="D53" s="665" t="s">
        <v>318</v>
      </c>
      <c r="E53" s="667" t="s">
        <v>915</v>
      </c>
      <c r="F53" s="660" t="s">
        <v>904</v>
      </c>
      <c r="G53" s="668"/>
      <c r="H53" s="1023"/>
      <c r="I53" s="668"/>
      <c r="J53" s="1023"/>
      <c r="K53" s="1169"/>
      <c r="L53" s="1023"/>
      <c r="M53" s="1169"/>
      <c r="N53" s="1023"/>
      <c r="O53" s="289"/>
      <c r="AB53" s="758">
        <v>0</v>
      </c>
    </row>
    <row s="1635" customFormat="1" customHeight="1" ht="11.25" hidden="1">
      <c r="A54" s="2411"/>
      <c r="B54" s="511"/>
      <c r="D54" s="665" t="s">
        <v>927</v>
      </c>
      <c r="E54" s="667" t="s">
        <v>916</v>
      </c>
      <c r="F54" s="660" t="s">
        <v>904</v>
      </c>
      <c r="G54" s="668"/>
      <c r="H54" s="1023"/>
      <c r="I54" s="668"/>
      <c r="J54" s="1023"/>
      <c r="K54" s="1169"/>
      <c r="L54" s="1023"/>
      <c r="M54" s="1169"/>
      <c r="N54" s="1023"/>
      <c r="O54" s="289"/>
      <c r="AB54" s="758">
        <v>0</v>
      </c>
    </row>
    <row s="1635" customFormat="1" customHeight="1" ht="11.25" hidden="1">
      <c r="A55" s="2411"/>
      <c r="B55" s="511"/>
      <c r="D55" s="665" t="s">
        <v>928</v>
      </c>
      <c r="E55" s="667" t="s">
        <v>917</v>
      </c>
      <c r="F55" s="660" t="s">
        <v>904</v>
      </c>
      <c r="G55" s="668"/>
      <c r="H55" s="1023"/>
      <c r="I55" s="668"/>
      <c r="J55" s="1023"/>
      <c r="K55" s="1169"/>
      <c r="L55" s="1023"/>
      <c r="M55" s="1169"/>
      <c r="N55" s="1023"/>
      <c r="O55" s="289"/>
      <c r="AB55" s="758">
        <v>0</v>
      </c>
    </row>
    <row s="1635" customFormat="1" customHeight="1" ht="11.25" hidden="1">
      <c r="A56" s="2411"/>
      <c r="B56" s="511"/>
      <c r="D56" s="665" t="s">
        <v>929</v>
      </c>
      <c r="E56" s="671" t="s">
        <v>919</v>
      </c>
      <c r="F56" s="660" t="s">
        <v>904</v>
      </c>
      <c r="G56" s="668"/>
      <c r="H56" s="1023"/>
      <c r="I56" s="668"/>
      <c r="J56" s="1023"/>
      <c r="K56" s="1169"/>
      <c r="L56" s="1023"/>
      <c r="M56" s="1169"/>
      <c r="N56" s="1023"/>
      <c r="O56" s="289"/>
      <c r="AB56" s="758">
        <v>0</v>
      </c>
    </row>
    <row s="1635" customFormat="1" customHeight="1" ht="11.25" hidden="1">
      <c r="A57" s="2411"/>
      <c r="B57" s="511"/>
      <c r="D57" s="665" t="s">
        <v>930</v>
      </c>
      <c r="E57" s="671" t="s">
        <v>921</v>
      </c>
      <c r="F57" s="660" t="s">
        <v>904</v>
      </c>
      <c r="G57" s="668"/>
      <c r="H57" s="1023"/>
      <c r="I57" s="668"/>
      <c r="J57" s="1023"/>
      <c r="K57" s="1169"/>
      <c r="L57" s="1023"/>
      <c r="M57" s="1169"/>
      <c r="N57" s="1023"/>
      <c r="O57" s="289"/>
      <c r="AB57" s="758">
        <v>0</v>
      </c>
    </row>
    <row s="1635" customFormat="1" customHeight="1" ht="11.25" hidden="1">
      <c r="A58" s="2411"/>
      <c r="B58" s="511"/>
      <c r="D58" s="665" t="s">
        <v>931</v>
      </c>
      <c r="E58" s="667" t="s">
        <v>923</v>
      </c>
      <c r="F58" s="660" t="s">
        <v>904</v>
      </c>
      <c r="G58" s="668"/>
      <c r="H58" s="1023"/>
      <c r="I58" s="668"/>
      <c r="J58" s="1023"/>
      <c r="K58" s="1169"/>
      <c r="L58" s="1023"/>
      <c r="M58" s="1169"/>
      <c r="N58" s="1023"/>
      <c r="O58" s="289"/>
      <c r="AB58" s="758">
        <v>0</v>
      </c>
    </row>
    <row s="1635" customFormat="1" customHeight="1" ht="11.25" hidden="1">
      <c r="A59" s="2411"/>
      <c r="B59" s="511"/>
      <c r="D59" s="665" t="s">
        <v>932</v>
      </c>
      <c r="E59" s="667" t="s">
        <v>925</v>
      </c>
      <c r="F59" s="660" t="s">
        <v>904</v>
      </c>
      <c r="G59" s="668"/>
      <c r="H59" s="1023"/>
      <c r="I59" s="668"/>
      <c r="J59" s="1023"/>
      <c r="K59" s="1169"/>
      <c r="L59" s="1023"/>
      <c r="M59" s="1169"/>
      <c r="N59" s="1023"/>
      <c r="O59" s="289"/>
      <c r="AB59" s="758">
        <v>0</v>
      </c>
    </row>
    <row s="1635" customFormat="1" customHeight="1" ht="33.75" hidden="1">
      <c r="A60" s="2411"/>
      <c r="B60" s="511"/>
      <c r="D60" s="665" t="s">
        <v>93</v>
      </c>
      <c r="E60" s="666" t="s">
        <v>933</v>
      </c>
      <c r="F60" s="721" t="s">
        <v>561</v>
      </c>
      <c r="G60" s="742"/>
      <c r="H60" s="1023"/>
      <c r="I60" s="742"/>
      <c r="J60" s="1023"/>
      <c r="K60" s="742"/>
      <c r="L60" s="1023"/>
      <c r="M60" s="742"/>
      <c r="N60" s="1023"/>
      <c r="O60" s="302" t="s">
        <v>934</v>
      </c>
      <c r="AB60" s="758">
        <v>0</v>
      </c>
    </row>
    <row s="1635" customFormat="1" customHeight="1" ht="33.75" hidden="1">
      <c r="A61" s="2411"/>
      <c r="B61" s="511"/>
      <c r="D61" s="665" t="s">
        <v>94</v>
      </c>
      <c r="E61" s="666" t="s">
        <v>935</v>
      </c>
      <c r="F61" s="726" t="s">
        <v>863</v>
      </c>
      <c r="G61" s="668"/>
      <c r="H61" s="1023"/>
      <c r="I61" s="668"/>
      <c r="J61" s="1023"/>
      <c r="K61" s="1169"/>
      <c r="L61" s="1023"/>
      <c r="M61" s="1169"/>
      <c r="N61" s="1023"/>
      <c r="O61" s="289"/>
      <c r="AB61" s="758">
        <v>0</v>
      </c>
    </row>
    <row s="1635" customFormat="1" customHeight="1" ht="22.5" hidden="1">
      <c r="A62" s="2411"/>
      <c r="B62" s="511" t="s">
        <v>594</v>
      </c>
      <c r="D62" s="665" t="s">
        <v>112</v>
      </c>
      <c r="E62" s="666" t="s">
        <v>936</v>
      </c>
      <c r="F62" s="726" t="s">
        <v>311</v>
      </c>
      <c r="G62" s="382"/>
      <c r="H62" s="1023"/>
      <c r="I62" s="382"/>
      <c r="J62" s="1023"/>
      <c r="K62" s="1164"/>
      <c r="L62" s="1023"/>
      <c r="M62" s="1164"/>
      <c r="N62" s="1023"/>
      <c r="O62" s="289" t="s">
        <v>657</v>
      </c>
      <c r="AB62" s="758">
        <v>0</v>
      </c>
    </row>
    <row s="1635" customFormat="1" customHeight="1" ht="45" hidden="1">
      <c r="A63" s="2411"/>
      <c r="B63" s="511" t="s">
        <v>594</v>
      </c>
      <c r="D63" s="665" t="s">
        <v>937</v>
      </c>
      <c r="E63" s="667" t="s">
        <v>938</v>
      </c>
      <c r="F63" s="721" t="s">
        <v>311</v>
      </c>
      <c r="G63" s="382"/>
      <c r="H63" s="1023"/>
      <c r="I63" s="382"/>
      <c r="J63" s="1023"/>
      <c r="K63" s="1164"/>
      <c r="L63" s="1023"/>
      <c r="M63" s="1164"/>
      <c r="N63" s="1023"/>
      <c r="O63" s="289" t="s">
        <v>657</v>
      </c>
      <c r="AB63" s="758">
        <v>0</v>
      </c>
    </row>
    <row s="1635" customFormat="1" customHeight="1" ht="11.549999999999999">
      <c r="A64" s="1033"/>
      <c r="B64" s="518"/>
      <c r="D64" s="1034"/>
      <c r="E64" s="1035"/>
      <c r="K64" s="1635"/>
      <c r="L64" s="1635"/>
      <c r="M64" s="1635"/>
      <c r="N64" s="1635"/>
      <c r="AB64" s="509">
        <v>11</v>
      </c>
    </row>
    <row s="1635" customFormat="1" customHeight="1" ht="22.5" hidden="1">
      <c r="A65" s="2411" t="s">
        <v>939</v>
      </c>
      <c r="B65" s="511"/>
      <c r="D65" s="665">
        <v>1</v>
      </c>
      <c r="E65" s="744" t="s">
        <v>940</v>
      </c>
      <c r="F65" s="740" t="s">
        <v>853</v>
      </c>
      <c r="G65" s="741"/>
      <c r="H65" s="1029"/>
      <c r="I65" s="741"/>
      <c r="J65" s="1029"/>
      <c r="K65" s="741"/>
      <c r="L65" s="1029"/>
      <c r="M65" s="741"/>
      <c r="N65" s="1029"/>
      <c r="O65" s="301" t="s">
        <v>941</v>
      </c>
      <c r="AB65" s="758">
        <v>0</v>
      </c>
    </row>
    <row s="1635" customFormat="1" customHeight="1" ht="56.25" hidden="1">
      <c r="A66" s="2411"/>
      <c r="B66" s="511"/>
      <c r="D66" s="743" t="s">
        <v>111</v>
      </c>
      <c r="E66" s="707" t="s">
        <v>942</v>
      </c>
      <c r="F66" s="660" t="s">
        <v>549</v>
      </c>
      <c r="G66" s="660" t="s">
        <v>549</v>
      </c>
      <c r="H66" s="519"/>
      <c r="I66" s="660" t="s">
        <v>549</v>
      </c>
      <c r="J66" s="519"/>
      <c r="K66" s="2123" t="s">
        <v>549</v>
      </c>
      <c r="L66" s="519"/>
      <c r="M66" s="2123" t="s">
        <v>549</v>
      </c>
      <c r="N66" s="519"/>
      <c r="O66" s="289"/>
      <c r="AB66" s="758">
        <v>0</v>
      </c>
    </row>
    <row s="1635" customFormat="1" customHeight="1" ht="33.75" hidden="1">
      <c r="A67" s="2411"/>
      <c r="B67" s="511"/>
      <c r="D67" s="743" t="s">
        <v>734</v>
      </c>
      <c r="E67" s="954" t="s">
        <v>943</v>
      </c>
      <c r="F67" s="660" t="s">
        <v>907</v>
      </c>
      <c r="G67" s="727"/>
      <c r="H67" s="519"/>
      <c r="I67" s="727"/>
      <c r="J67" s="519"/>
      <c r="K67" s="727"/>
      <c r="L67" s="519"/>
      <c r="M67" s="727"/>
      <c r="N67" s="519"/>
      <c r="O67" s="289"/>
      <c r="AB67" s="758">
        <v>0</v>
      </c>
    </row>
    <row s="1635" customFormat="1" customHeight="1" ht="22.5" hidden="1">
      <c r="A68" s="2411"/>
      <c r="B68" s="511"/>
      <c r="D68" s="743" t="s">
        <v>312</v>
      </c>
      <c r="E68" s="954" t="s">
        <v>944</v>
      </c>
      <c r="F68" s="660" t="s">
        <v>907</v>
      </c>
      <c r="G68" s="727"/>
      <c r="H68" s="519"/>
      <c r="I68" s="727"/>
      <c r="J68" s="519"/>
      <c r="K68" s="727"/>
      <c r="L68" s="519"/>
      <c r="M68" s="727"/>
      <c r="N68" s="519"/>
      <c r="O68" s="289"/>
      <c r="AB68" s="758">
        <v>0</v>
      </c>
    </row>
    <row s="1635" customFormat="1" customHeight="1" ht="22.5" hidden="1">
      <c r="A69" s="2411"/>
      <c r="B69" s="511"/>
      <c r="D69" s="743" t="s">
        <v>315</v>
      </c>
      <c r="E69" s="954" t="s">
        <v>945</v>
      </c>
      <c r="F69" s="721" t="s">
        <v>561</v>
      </c>
      <c r="G69" s="742"/>
      <c r="H69" s="519"/>
      <c r="I69" s="742"/>
      <c r="J69" s="519"/>
      <c r="K69" s="742"/>
      <c r="L69" s="519"/>
      <c r="M69" s="742"/>
      <c r="N69" s="519"/>
      <c r="O69" s="289"/>
      <c r="AB69" s="758">
        <v>0</v>
      </c>
    </row>
    <row s="1635" customFormat="1" customHeight="1" ht="22.5" hidden="1">
      <c r="A70" s="2411"/>
      <c r="B70" s="511"/>
      <c r="D70" s="743" t="s">
        <v>754</v>
      </c>
      <c r="E70" s="954" t="s">
        <v>946</v>
      </c>
      <c r="F70" s="721" t="s">
        <v>561</v>
      </c>
      <c r="G70" s="742"/>
      <c r="H70" s="519"/>
      <c r="I70" s="742"/>
      <c r="J70" s="519"/>
      <c r="K70" s="742"/>
      <c r="L70" s="519"/>
      <c r="M70" s="742"/>
      <c r="N70" s="519"/>
      <c r="O70" s="289"/>
      <c r="AB70" s="758">
        <v>0</v>
      </c>
    </row>
    <row s="1635" customFormat="1" customHeight="1" ht="22.5" hidden="1">
      <c r="A71" s="2411"/>
      <c r="B71" s="511"/>
      <c r="D71" s="665" t="s">
        <v>91</v>
      </c>
      <c r="E71" s="666" t="s">
        <v>947</v>
      </c>
      <c r="F71" s="660" t="s">
        <v>907</v>
      </c>
      <c r="G71" s="557"/>
      <c r="H71" s="1030"/>
      <c r="I71" s="557"/>
      <c r="J71" s="1030"/>
      <c r="K71" s="557"/>
      <c r="L71" s="1030"/>
      <c r="M71" s="557"/>
      <c r="N71" s="1030"/>
      <c r="O71" s="302"/>
      <c r="AB71" s="758">
        <v>0</v>
      </c>
    </row>
    <row s="1635" customFormat="1" customHeight="1" ht="56.25" hidden="1">
      <c r="A72" s="2411"/>
      <c r="B72" s="511"/>
      <c r="D72" s="665" t="s">
        <v>92</v>
      </c>
      <c r="E72" s="666" t="s">
        <v>948</v>
      </c>
      <c r="F72" s="721" t="s">
        <v>561</v>
      </c>
      <c r="G72" s="742"/>
      <c r="H72" s="1023"/>
      <c r="I72" s="742"/>
      <c r="J72" s="1023"/>
      <c r="K72" s="742"/>
      <c r="L72" s="1023"/>
      <c r="M72" s="742"/>
      <c r="N72" s="1023"/>
      <c r="O72" s="302"/>
      <c r="AB72" s="758">
        <v>0</v>
      </c>
    </row>
    <row s="1635" customFormat="1" customHeight="1" ht="33.75" hidden="1">
      <c r="A73" s="2411"/>
      <c r="B73" s="511"/>
      <c r="D73" s="665" t="s">
        <v>100</v>
      </c>
      <c r="E73" s="666" t="s">
        <v>949</v>
      </c>
      <c r="F73" s="726" t="s">
        <v>863</v>
      </c>
      <c r="G73" s="668"/>
      <c r="H73" s="1023"/>
      <c r="I73" s="668"/>
      <c r="J73" s="1023"/>
      <c r="K73" s="1169"/>
      <c r="L73" s="1023"/>
      <c r="M73" s="1169"/>
      <c r="N73" s="1023"/>
      <c r="O73" s="289"/>
      <c r="AB73" s="758">
        <v>0</v>
      </c>
    </row>
    <row s="1635" customFormat="1" customHeight="1" ht="22.5" hidden="1">
      <c r="A74" s="2411"/>
      <c r="B74" s="511" t="s">
        <v>594</v>
      </c>
      <c r="D74" s="665" t="s">
        <v>93</v>
      </c>
      <c r="E74" s="666" t="s">
        <v>950</v>
      </c>
      <c r="F74" s="726" t="s">
        <v>311</v>
      </c>
      <c r="G74" s="382"/>
      <c r="H74" s="1023"/>
      <c r="I74" s="382"/>
      <c r="J74" s="1023"/>
      <c r="K74" s="1164"/>
      <c r="L74" s="1023"/>
      <c r="M74" s="1164"/>
      <c r="N74" s="1023"/>
      <c r="O74" s="289" t="s">
        <v>657</v>
      </c>
      <c r="AB74" s="758">
        <v>0</v>
      </c>
    </row>
    <row s="1635" customFormat="1" customHeight="1" ht="45" hidden="1">
      <c r="A75" s="2411"/>
      <c r="B75" s="511" t="s">
        <v>594</v>
      </c>
      <c r="D75" s="665" t="s">
        <v>678</v>
      </c>
      <c r="E75" s="667" t="s">
        <v>951</v>
      </c>
      <c r="F75" s="721" t="s">
        <v>311</v>
      </c>
      <c r="G75" s="382"/>
      <c r="H75" s="1023"/>
      <c r="I75" s="382"/>
      <c r="J75" s="1023"/>
      <c r="K75" s="1164"/>
      <c r="L75" s="1023"/>
      <c r="M75" s="1164"/>
      <c r="N75" s="1023"/>
      <c r="O75" s="289" t="s">
        <v>657</v>
      </c>
      <c r="AB75" s="758">
        <v>0</v>
      </c>
    </row>
    <row s="1635" customFormat="1" customHeight="1" ht="11.549999999999999">
      <c r="A76" s="1033"/>
      <c r="B76" s="518"/>
      <c r="D76" s="1034"/>
      <c r="E76" s="1035"/>
      <c r="K76" s="1635"/>
      <c r="L76" s="1635"/>
      <c r="M76" s="1635"/>
      <c r="N76" s="1635"/>
      <c r="AB76" s="509">
        <v>11</v>
      </c>
    </row>
    <row s="1635" customFormat="1" customHeight="1" ht="11.25" hidden="1">
      <c r="A77" s="2411" t="s">
        <v>952</v>
      </c>
      <c r="B77" s="511"/>
      <c r="D77" s="665">
        <v>1</v>
      </c>
      <c r="E77" s="666" t="s">
        <v>953</v>
      </c>
      <c r="F77" s="721" t="s">
        <v>853</v>
      </c>
      <c r="G77" s="724"/>
      <c r="H77" s="1023"/>
      <c r="I77" s="724"/>
      <c r="J77" s="1023"/>
      <c r="K77" s="724"/>
      <c r="L77" s="1023"/>
      <c r="M77" s="724"/>
      <c r="N77" s="1023"/>
      <c r="O77" s="289" t="s">
        <v>954</v>
      </c>
      <c r="AB77" s="758">
        <v>0</v>
      </c>
    </row>
    <row s="1635" customFormat="1" customHeight="1" ht="11.25" hidden="1">
      <c r="A78" s="2411"/>
      <c r="B78" s="511"/>
      <c r="D78" s="665" t="s">
        <v>111</v>
      </c>
      <c r="E78" s="666" t="s">
        <v>955</v>
      </c>
      <c r="F78" s="721" t="s">
        <v>853</v>
      </c>
      <c r="G78" s="724"/>
      <c r="H78" s="1023"/>
      <c r="I78" s="724"/>
      <c r="J78" s="1023"/>
      <c r="K78" s="724"/>
      <c r="L78" s="1023"/>
      <c r="M78" s="724"/>
      <c r="N78" s="1023"/>
      <c r="O78" s="289" t="s">
        <v>956</v>
      </c>
      <c r="AB78" s="758">
        <v>0</v>
      </c>
    </row>
    <row s="1635" customFormat="1" customHeight="1" ht="22.5" hidden="1">
      <c r="A79" s="2411"/>
      <c r="B79" s="511"/>
      <c r="D79" s="665" t="s">
        <v>91</v>
      </c>
      <c r="E79" s="722" t="s">
        <v>957</v>
      </c>
      <c r="F79" s="660" t="s">
        <v>904</v>
      </c>
      <c r="G79" s="724"/>
      <c r="H79" s="1023"/>
      <c r="I79" s="724"/>
      <c r="J79" s="1023"/>
      <c r="K79" s="724"/>
      <c r="L79" s="1023"/>
      <c r="M79" s="724"/>
      <c r="N79" s="1023"/>
      <c r="O79" s="289" t="s">
        <v>958</v>
      </c>
      <c r="AB79" s="758">
        <v>0</v>
      </c>
    </row>
    <row s="1635" customFormat="1" customHeight="1" ht="11.25" hidden="1">
      <c r="A80" s="2411"/>
      <c r="B80" s="511"/>
      <c r="D80" s="665" t="s">
        <v>329</v>
      </c>
      <c r="E80" s="723" t="s">
        <v>959</v>
      </c>
      <c r="F80" s="660" t="s">
        <v>904</v>
      </c>
      <c r="G80" s="724"/>
      <c r="H80" s="1023"/>
      <c r="I80" s="724"/>
      <c r="J80" s="1023"/>
      <c r="K80" s="724"/>
      <c r="L80" s="1023"/>
      <c r="M80" s="724"/>
      <c r="N80" s="1023"/>
      <c r="O80" s="289"/>
      <c r="AB80" s="758">
        <v>0</v>
      </c>
    </row>
    <row s="1635" customFormat="1" customHeight="1" ht="11.25" hidden="1">
      <c r="A81" s="2411"/>
      <c r="B81" s="511"/>
      <c r="D81" s="665" t="s">
        <v>337</v>
      </c>
      <c r="E81" s="723" t="s">
        <v>960</v>
      </c>
      <c r="F81" s="660" t="s">
        <v>904</v>
      </c>
      <c r="G81" s="724"/>
      <c r="H81" s="1023"/>
      <c r="I81" s="724"/>
      <c r="J81" s="1023"/>
      <c r="K81" s="724"/>
      <c r="L81" s="1023"/>
      <c r="M81" s="724"/>
      <c r="N81" s="1023"/>
      <c r="O81" s="289"/>
      <c r="AB81" s="758">
        <v>0</v>
      </c>
    </row>
    <row s="1635" customFormat="1" customHeight="1" ht="11.25" hidden="1">
      <c r="A82" s="2411"/>
      <c r="B82" s="511"/>
      <c r="D82" s="665" t="s">
        <v>339</v>
      </c>
      <c r="E82" s="723" t="s">
        <v>961</v>
      </c>
      <c r="F82" s="660" t="s">
        <v>904</v>
      </c>
      <c r="G82" s="724"/>
      <c r="H82" s="1023"/>
      <c r="I82" s="724"/>
      <c r="J82" s="1023"/>
      <c r="K82" s="724"/>
      <c r="L82" s="1023"/>
      <c r="M82" s="724"/>
      <c r="N82" s="1023"/>
      <c r="O82" s="289"/>
      <c r="AB82" s="758">
        <v>0</v>
      </c>
    </row>
    <row s="1635" customFormat="1" customHeight="1" ht="11.25" hidden="1">
      <c r="A83" s="2411"/>
      <c r="B83" s="511"/>
      <c r="D83" s="665" t="s">
        <v>341</v>
      </c>
      <c r="E83" s="723" t="s">
        <v>962</v>
      </c>
      <c r="F83" s="660" t="s">
        <v>904</v>
      </c>
      <c r="G83" s="724"/>
      <c r="H83" s="1023"/>
      <c r="I83" s="724"/>
      <c r="J83" s="1023"/>
      <c r="K83" s="724"/>
      <c r="L83" s="1023"/>
      <c r="M83" s="724"/>
      <c r="N83" s="1023"/>
      <c r="O83" s="289"/>
      <c r="AB83" s="758">
        <v>0</v>
      </c>
    </row>
    <row s="1635" customFormat="1" customHeight="1" ht="11.25" hidden="1">
      <c r="A84" s="2411"/>
      <c r="B84" s="511"/>
      <c r="D84" s="665" t="s">
        <v>963</v>
      </c>
      <c r="E84" s="723" t="s">
        <v>964</v>
      </c>
      <c r="F84" s="660" t="s">
        <v>904</v>
      </c>
      <c r="G84" s="724"/>
      <c r="H84" s="1023"/>
      <c r="I84" s="724"/>
      <c r="J84" s="1023"/>
      <c r="K84" s="724"/>
      <c r="L84" s="1023"/>
      <c r="M84" s="724"/>
      <c r="N84" s="1023"/>
      <c r="O84" s="289"/>
      <c r="AB84" s="758">
        <v>0</v>
      </c>
    </row>
    <row s="1635" customFormat="1" customHeight="1" ht="11.25" hidden="1">
      <c r="A85" s="2411"/>
      <c r="B85" s="511"/>
      <c r="D85" s="665" t="s">
        <v>965</v>
      </c>
      <c r="E85" s="723" t="s">
        <v>966</v>
      </c>
      <c r="F85" s="660" t="s">
        <v>904</v>
      </c>
      <c r="G85" s="724"/>
      <c r="H85" s="1023"/>
      <c r="I85" s="724"/>
      <c r="J85" s="1023"/>
      <c r="K85" s="724"/>
      <c r="L85" s="1023"/>
      <c r="M85" s="724"/>
      <c r="N85" s="1023"/>
      <c r="O85" s="289"/>
      <c r="AB85" s="758">
        <v>0</v>
      </c>
    </row>
    <row s="1635" customFormat="1" customHeight="1" ht="11.25" hidden="1">
      <c r="A86" s="2411"/>
      <c r="B86" s="511"/>
      <c r="D86" s="665" t="s">
        <v>967</v>
      </c>
      <c r="E86" s="723" t="s">
        <v>968</v>
      </c>
      <c r="F86" s="660" t="s">
        <v>904</v>
      </c>
      <c r="G86" s="724"/>
      <c r="H86" s="1023"/>
      <c r="I86" s="724"/>
      <c r="J86" s="1023"/>
      <c r="K86" s="724"/>
      <c r="L86" s="1023"/>
      <c r="M86" s="724"/>
      <c r="N86" s="1023"/>
      <c r="O86" s="289"/>
      <c r="AB86" s="758">
        <v>0</v>
      </c>
    </row>
    <row s="1635" customFormat="1" customHeight="1" ht="45" hidden="1">
      <c r="A87" s="2411"/>
      <c r="B87" s="511"/>
      <c r="D87" s="665" t="s">
        <v>92</v>
      </c>
      <c r="E87" s="666" t="s">
        <v>969</v>
      </c>
      <c r="F87" s="660" t="s">
        <v>904</v>
      </c>
      <c r="G87" s="724"/>
      <c r="H87" s="1023"/>
      <c r="I87" s="724"/>
      <c r="J87" s="1023"/>
      <c r="K87" s="724"/>
      <c r="L87" s="1023"/>
      <c r="M87" s="724"/>
      <c r="N87" s="1023"/>
      <c r="O87" s="289" t="s">
        <v>970</v>
      </c>
      <c r="AB87" s="758">
        <v>0</v>
      </c>
    </row>
    <row s="1635" customFormat="1" customHeight="1" ht="11.25" hidden="1">
      <c r="A88" s="2411"/>
      <c r="B88" s="511"/>
      <c r="D88" s="665" t="s">
        <v>785</v>
      </c>
      <c r="E88" s="723" t="s">
        <v>959</v>
      </c>
      <c r="F88" s="660" t="s">
        <v>904</v>
      </c>
      <c r="G88" s="724"/>
      <c r="H88" s="1023"/>
      <c r="I88" s="724"/>
      <c r="J88" s="1023"/>
      <c r="K88" s="724"/>
      <c r="L88" s="1023"/>
      <c r="M88" s="724"/>
      <c r="N88" s="1023"/>
      <c r="O88" s="289"/>
      <c r="AB88" s="758">
        <v>0</v>
      </c>
    </row>
    <row s="1635" customFormat="1" customHeight="1" ht="11.25" hidden="1">
      <c r="A89" s="2411"/>
      <c r="B89" s="511"/>
      <c r="D89" s="665" t="s">
        <v>829</v>
      </c>
      <c r="E89" s="723" t="s">
        <v>960</v>
      </c>
      <c r="F89" s="660" t="s">
        <v>904</v>
      </c>
      <c r="G89" s="724"/>
      <c r="H89" s="1023"/>
      <c r="I89" s="724"/>
      <c r="J89" s="1023"/>
      <c r="K89" s="724"/>
      <c r="L89" s="1023"/>
      <c r="M89" s="724"/>
      <c r="N89" s="1023"/>
      <c r="O89" s="289"/>
      <c r="AB89" s="758">
        <v>0</v>
      </c>
    </row>
    <row s="1635" customFormat="1" customHeight="1" ht="11.25" hidden="1">
      <c r="A90" s="2411"/>
      <c r="B90" s="511"/>
      <c r="D90" s="665" t="s">
        <v>832</v>
      </c>
      <c r="E90" s="723" t="s">
        <v>961</v>
      </c>
      <c r="F90" s="660" t="s">
        <v>904</v>
      </c>
      <c r="G90" s="724"/>
      <c r="H90" s="1023"/>
      <c r="I90" s="724"/>
      <c r="J90" s="1023"/>
      <c r="K90" s="724"/>
      <c r="L90" s="1023"/>
      <c r="M90" s="724"/>
      <c r="N90" s="1023"/>
      <c r="O90" s="289"/>
      <c r="AB90" s="758">
        <v>0</v>
      </c>
    </row>
    <row s="1635" customFormat="1" customHeight="1" ht="11.25" hidden="1">
      <c r="A91" s="2411"/>
      <c r="B91" s="511"/>
      <c r="D91" s="665" t="s">
        <v>922</v>
      </c>
      <c r="E91" s="723" t="s">
        <v>962</v>
      </c>
      <c r="F91" s="660" t="s">
        <v>904</v>
      </c>
      <c r="G91" s="724"/>
      <c r="H91" s="1023"/>
      <c r="I91" s="724"/>
      <c r="J91" s="1023"/>
      <c r="K91" s="724"/>
      <c r="L91" s="1023"/>
      <c r="M91" s="724"/>
      <c r="N91" s="1023"/>
      <c r="O91" s="289"/>
      <c r="AB91" s="758">
        <v>0</v>
      </c>
    </row>
    <row s="1635" customFormat="1" customHeight="1" ht="11.25" hidden="1">
      <c r="A92" s="2411"/>
      <c r="B92" s="511"/>
      <c r="D92" s="665" t="s">
        <v>924</v>
      </c>
      <c r="E92" s="723" t="s">
        <v>964</v>
      </c>
      <c r="F92" s="660" t="s">
        <v>904</v>
      </c>
      <c r="G92" s="724"/>
      <c r="H92" s="1023"/>
      <c r="I92" s="724"/>
      <c r="J92" s="1023"/>
      <c r="K92" s="724"/>
      <c r="L92" s="1023"/>
      <c r="M92" s="724"/>
      <c r="N92" s="1023"/>
      <c r="O92" s="289"/>
      <c r="AB92" s="758">
        <v>0</v>
      </c>
    </row>
    <row s="1635" customFormat="1" customHeight="1" ht="11.25" hidden="1">
      <c r="A93" s="2411"/>
      <c r="B93" s="511"/>
      <c r="D93" s="665" t="s">
        <v>971</v>
      </c>
      <c r="E93" s="723" t="s">
        <v>966</v>
      </c>
      <c r="F93" s="660" t="s">
        <v>904</v>
      </c>
      <c r="G93" s="724"/>
      <c r="H93" s="1023"/>
      <c r="I93" s="724"/>
      <c r="J93" s="1023"/>
      <c r="K93" s="724"/>
      <c r="L93" s="1023"/>
      <c r="M93" s="724"/>
      <c r="N93" s="1023"/>
      <c r="O93" s="289"/>
      <c r="AB93" s="758">
        <v>0</v>
      </c>
    </row>
    <row s="1635" customFormat="1" customHeight="1" ht="11.25" hidden="1">
      <c r="A94" s="2411"/>
      <c r="B94" s="511"/>
      <c r="D94" s="665" t="s">
        <v>972</v>
      </c>
      <c r="E94" s="723" t="s">
        <v>968</v>
      </c>
      <c r="F94" s="660" t="s">
        <v>904</v>
      </c>
      <c r="G94" s="724"/>
      <c r="H94" s="1023"/>
      <c r="I94" s="724"/>
      <c r="J94" s="1023"/>
      <c r="K94" s="724"/>
      <c r="L94" s="1023"/>
      <c r="M94" s="724"/>
      <c r="N94" s="1023"/>
      <c r="O94" s="289"/>
      <c r="AB94" s="758">
        <v>0</v>
      </c>
    </row>
    <row s="1635" customFormat="1" customHeight="1" ht="24.75" hidden="1">
      <c r="A95" s="2411"/>
      <c r="B95" s="511"/>
      <c r="D95" s="665" t="s">
        <v>100</v>
      </c>
      <c r="E95" s="666" t="s">
        <v>973</v>
      </c>
      <c r="F95" s="725" t="s">
        <v>561</v>
      </c>
      <c r="G95" s="727"/>
      <c r="H95" s="1023"/>
      <c r="I95" s="727"/>
      <c r="J95" s="1023"/>
      <c r="K95" s="727"/>
      <c r="L95" s="1023"/>
      <c r="M95" s="727"/>
      <c r="N95" s="1023"/>
      <c r="O95" s="289" t="s">
        <v>974</v>
      </c>
      <c r="AB95" s="758">
        <v>0</v>
      </c>
    </row>
    <row s="1635" customFormat="1" customHeight="1" ht="33.75" hidden="1">
      <c r="A96" s="2411"/>
      <c r="B96" s="511"/>
      <c r="D96" s="665" t="s">
        <v>93</v>
      </c>
      <c r="E96" s="666" t="s">
        <v>975</v>
      </c>
      <c r="F96" s="726" t="s">
        <v>863</v>
      </c>
      <c r="G96" s="728"/>
      <c r="H96" s="1023"/>
      <c r="I96" s="728"/>
      <c r="J96" s="1023"/>
      <c r="K96" s="728"/>
      <c r="L96" s="1023"/>
      <c r="M96" s="728"/>
      <c r="N96" s="1023"/>
      <c r="O96" s="289"/>
      <c r="AB96" s="758">
        <v>0</v>
      </c>
    </row>
    <row s="1635" customFormat="1" customHeight="1" ht="22.5" hidden="1">
      <c r="A97" s="2411"/>
      <c r="B97" s="511" t="s">
        <v>594</v>
      </c>
      <c r="D97" s="665" t="s">
        <v>94</v>
      </c>
      <c r="E97" s="666" t="s">
        <v>976</v>
      </c>
      <c r="F97" s="726" t="s">
        <v>311</v>
      </c>
      <c r="G97" s="385"/>
      <c r="H97" s="1023"/>
      <c r="I97" s="385"/>
      <c r="J97" s="1023"/>
      <c r="K97" s="385"/>
      <c r="L97" s="1023"/>
      <c r="M97" s="385"/>
      <c r="N97" s="1023"/>
      <c r="O97" s="289" t="s">
        <v>657</v>
      </c>
      <c r="AB97" s="758">
        <v>0</v>
      </c>
    </row>
    <row s="1635" customFormat="1" customHeight="1" ht="45" hidden="1">
      <c r="A98" s="2411"/>
      <c r="B98" s="511" t="s">
        <v>594</v>
      </c>
      <c r="D98" s="665" t="s">
        <v>841</v>
      </c>
      <c r="E98" s="667" t="s">
        <v>977</v>
      </c>
      <c r="F98" s="721" t="s">
        <v>311</v>
      </c>
      <c r="G98" s="385"/>
      <c r="H98" s="1023"/>
      <c r="I98" s="385"/>
      <c r="J98" s="1023"/>
      <c r="K98" s="385"/>
      <c r="L98" s="1023"/>
      <c r="M98" s="385"/>
      <c r="N98" s="1023"/>
      <c r="O98" s="289" t="s">
        <v>657</v>
      </c>
      <c r="AB98" s="758">
        <v>0</v>
      </c>
    </row>
    <row s="1635" customFormat="1" customHeight="1" ht="95.25" hidden="1">
      <c r="A99" s="2411"/>
      <c r="B99" s="511" t="s">
        <v>594</v>
      </c>
      <c r="D99" s="665" t="s">
        <v>112</v>
      </c>
      <c r="E99" s="666" t="s">
        <v>978</v>
      </c>
      <c r="F99" s="721" t="s">
        <v>311</v>
      </c>
      <c r="G99" s="385"/>
      <c r="H99" s="1023"/>
      <c r="I99" s="385"/>
      <c r="J99" s="1023"/>
      <c r="K99" s="385"/>
      <c r="L99" s="1023"/>
      <c r="M99" s="385"/>
      <c r="N99" s="1023"/>
      <c r="O99" s="289" t="s">
        <v>657</v>
      </c>
      <c r="AB99" s="758">
        <v>0</v>
      </c>
    </row>
    <row s="1635" customFormat="1" customHeight="1" ht="22.5" hidden="1">
      <c r="A100" s="2411"/>
      <c r="B100" s="511" t="s">
        <v>594</v>
      </c>
      <c r="D100" s="665" t="s">
        <v>155</v>
      </c>
      <c r="E100" s="666" t="s">
        <v>979</v>
      </c>
      <c r="F100" s="721" t="s">
        <v>311</v>
      </c>
      <c r="G100" s="385"/>
      <c r="H100" s="1023"/>
      <c r="I100" s="385"/>
      <c r="J100" s="1023"/>
      <c r="K100" s="385"/>
      <c r="L100" s="1023"/>
      <c r="M100" s="385"/>
      <c r="N100" s="1023"/>
      <c r="O100" s="289" t="s">
        <v>657</v>
      </c>
      <c r="AB100" s="758">
        <v>0</v>
      </c>
    </row>
    <row s="1635" customFormat="1" customHeight="1" ht="11.549999999999999">
      <c r="A101" s="1033"/>
      <c r="B101" s="518"/>
      <c r="D101" s="1034"/>
      <c r="E101" s="1035"/>
      <c r="K101" s="1635"/>
      <c r="L101" s="1635"/>
      <c r="M101" s="1635"/>
      <c r="N101" s="1635"/>
      <c r="AB101" s="509">
        <v>11</v>
      </c>
    </row>
    <row customHeight="1" ht="22.5" hidden="1">
      <c r="A102" s="536" t="s">
        <v>83</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4EA68-11E3-26C7-D58F-3FBB73D1CB2F}"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84"/>
      <c r="K4" s="584"/>
      <c r="L4" s="584"/>
      <c r="M4" s="584"/>
      <c r="AM4" s="583">
        <v>34</v>
      </c>
    </row>
    <row s="589" customFormat="1" customHeight="1" ht="14.699999999999998">
      <c r="A5" s="585"/>
      <c r="B5" s="585"/>
      <c r="C5" s="585"/>
      <c r="D5" s="2141" t="str">
        <f>IF(org=0,"Не определено",org)</f>
        <v>Муниципальное унитарное предприятие "Невельские коммунальные сети"</v>
      </c>
      <c r="E5" s="2142"/>
      <c r="F5" s="2142"/>
      <c r="G5" s="2142"/>
      <c r="H5" s="2142"/>
      <c r="I5" s="2143"/>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44"/>
      <c r="B6" s="2144"/>
      <c r="C6" s="2144"/>
      <c r="D6" s="2144"/>
      <c r="E6" s="2144"/>
      <c r="F6" s="2144"/>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45"/>
      <c r="B9" s="323"/>
      <c r="C9" s="323"/>
      <c r="D9" s="2146" t="s">
        <v>106</v>
      </c>
      <c r="E9" s="2146"/>
      <c r="F9" s="2147" t="s">
        <v>107</v>
      </c>
      <c r="G9" s="2148"/>
      <c r="H9" s="2148"/>
      <c r="I9" s="2148"/>
      <c r="J9" s="2151" t="s">
        <v>108</v>
      </c>
      <c r="K9" s="2151"/>
      <c r="L9" s="2151"/>
      <c r="M9" s="2151"/>
      <c r="AM9" s="583">
        <v>18</v>
      </c>
    </row>
    <row customHeight="1" ht="24">
      <c r="A10" s="2145"/>
      <c r="B10" s="592"/>
      <c r="C10" s="525"/>
      <c r="D10" s="523" t="s">
        <v>89</v>
      </c>
      <c r="E10" s="523" t="s">
        <v>90</v>
      </c>
      <c r="F10" s="523" t="s">
        <v>109</v>
      </c>
      <c r="G10" s="2152" t="s">
        <v>89</v>
      </c>
      <c r="H10" s="2153"/>
      <c r="I10" s="523" t="s">
        <v>90</v>
      </c>
      <c r="J10" s="523" t="s">
        <v>109</v>
      </c>
      <c r="K10" s="2152" t="s">
        <v>89</v>
      </c>
      <c r="L10" s="2153"/>
      <c r="M10" s="523" t="s">
        <v>90</v>
      </c>
      <c r="N10" s="1627"/>
      <c r="AM10" s="583">
        <v>23</v>
      </c>
    </row>
    <row s="1850" customFormat="1" customHeight="1" ht="11.25" hidden="1">
      <c r="A11" s="593"/>
      <c r="B11" s="593"/>
      <c r="C11" s="593"/>
      <c r="D11" s="594" t="s">
        <v>110</v>
      </c>
      <c r="E11" s="594" t="s">
        <v>111</v>
      </c>
      <c r="F11" s="594" t="s">
        <v>91</v>
      </c>
      <c r="G11" s="2134" t="s">
        <v>92</v>
      </c>
      <c r="H11" s="2135"/>
      <c r="I11" s="594" t="s">
        <v>100</v>
      </c>
      <c r="J11" s="594" t="s">
        <v>93</v>
      </c>
      <c r="K11" s="2136" t="s">
        <v>94</v>
      </c>
      <c r="L11" s="2137"/>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0" customFormat="1" customHeight="1" ht="24.479153951009113">
      <c r="A13" s="293"/>
      <c r="B13" s="293"/>
      <c r="C13" s="526"/>
      <c r="D13" s="2127" t="s">
        <v>110</v>
      </c>
      <c r="E13" s="2128" t="str">
        <f>INDEX(VD_NAME_LIST,MATCH("4190064",VD_ID_LIST,0))</f>
        <v>Производство тепловой энергии. Некомбинированная выработка</v>
      </c>
      <c r="F13" s="2131" t="s">
        <v>66</v>
      </c>
      <c r="G13" s="2132"/>
      <c r="H13" s="2133">
        <v>1</v>
      </c>
      <c r="I13" s="2124" t="str">
        <f>IF(U13="","",INDEX(TERRITORY_MR_LIST,MATCH(U13,TERRITORY_LIST_ID,0)))</f>
        <v>Территория 1</v>
      </c>
      <c r="J13" s="2126" t="s">
        <v>66</v>
      </c>
      <c r="K13" s="602"/>
      <c r="L13" s="527" t="s">
        <v>110</v>
      </c>
      <c r="M13" s="2653" t="s">
        <v>117</v>
      </c>
      <c r="N13" s="812"/>
      <c r="O13" s="1416" t="s">
        <v>118</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Теплоснабжение за исключением сел Горнозаводск и Шебунино</v>
      </c>
      <c r="S13" s="1416"/>
      <c r="T13" s="1416"/>
      <c r="U13" s="1266" t="s">
        <v>99</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customHeight="1" ht="15">
      <c r="A14" s="423"/>
      <c r="B14" s="423"/>
      <c r="C14" s="176"/>
      <c r="D14" s="1820"/>
      <c r="E14" s="1820"/>
      <c r="F14" s="1820"/>
      <c r="G14" s="1820"/>
      <c r="H14" s="1820"/>
      <c r="I14" s="1820"/>
      <c r="J14" s="1820"/>
      <c r="K14" s="1798" t="s">
        <v>121</v>
      </c>
      <c r="L14" s="1728" t="s">
        <v>111</v>
      </c>
      <c r="M14" s="811" t="s">
        <v>122</v>
      </c>
      <c r="N14" s="812"/>
      <c r="O14" s="604" t="s">
        <v>123</v>
      </c>
      <c r="P14" s="604" t="str">
        <f>$E$13</f>
        <v>Производство тепловой энергии. Некомбинированная выработка</v>
      </c>
      <c r="Q14" s="604" t="str">
        <f>IF($F$13="нет","без дифференциации",$I$13)</f>
        <v>Территория 1</v>
      </c>
      <c r="R14" s="604" t="str">
        <f>IF($J$14="нет","без дифференциации",$M$14)</f>
        <v>Теплоснабжение с.Горнозаводск</v>
      </c>
      <c r="S14" s="604"/>
      <c r="T14" s="604"/>
      <c r="U14" s="605"/>
      <c r="V14" s="604"/>
      <c r="W14" s="604"/>
      <c r="X14" s="595"/>
      <c r="Y14" s="595" t="s">
        <v>120</v>
      </c>
      <c r="Z14" s="595">
        <v>1705000</v>
      </c>
      <c r="AA14" s="595"/>
      <c r="AB14" s="595"/>
      <c r="AC14" s="595"/>
      <c r="AD14" s="595"/>
      <c r="AE14" s="595"/>
      <c r="AF14" s="595"/>
      <c r="AG14" s="595"/>
      <c r="AH14" s="595"/>
      <c r="AI14" s="595"/>
      <c r="AJ14" s="595"/>
      <c r="AK14" s="595"/>
      <c r="AL14" s="595"/>
      <c r="AM14" s="1850"/>
    </row>
    <row customHeight="1" ht="15">
      <c r="A15" s="423"/>
      <c r="B15" s="423"/>
      <c r="C15" s="176"/>
      <c r="D15" s="1820"/>
      <c r="E15" s="1820"/>
      <c r="F15" s="1820"/>
      <c r="G15" s="1820"/>
      <c r="H15" s="1820"/>
      <c r="I15" s="1820"/>
      <c r="J15" s="1820"/>
      <c r="K15" s="1798" t="s">
        <v>121</v>
      </c>
      <c r="L15" s="1728" t="s">
        <v>91</v>
      </c>
      <c r="M15" s="811" t="s">
        <v>124</v>
      </c>
      <c r="N15" s="812"/>
      <c r="O15" s="604" t="s">
        <v>125</v>
      </c>
      <c r="P15" s="604" t="str">
        <f>$E$13</f>
        <v>Производство тепловой энергии. Некомбинированная выработка</v>
      </c>
      <c r="Q15" s="604" t="str">
        <f>IF($F$13="нет","без дифференциации",$I$13)</f>
        <v>Территория 1</v>
      </c>
      <c r="R15" s="604" t="str">
        <f>IF($J$15="нет","без дифференциации",$M$15)</f>
        <v>Теплоснабжение с.Шебунино</v>
      </c>
      <c r="S15" s="604"/>
      <c r="T15" s="604"/>
      <c r="U15" s="605"/>
      <c r="V15" s="604"/>
      <c r="W15" s="604"/>
      <c r="X15" s="595"/>
      <c r="Y15" s="595" t="s">
        <v>120</v>
      </c>
      <c r="Z15" s="595">
        <v>1705000</v>
      </c>
      <c r="AA15" s="595"/>
      <c r="AB15" s="595"/>
      <c r="AC15" s="595"/>
      <c r="AD15" s="595"/>
      <c r="AE15" s="595"/>
      <c r="AF15" s="595"/>
      <c r="AG15" s="595"/>
      <c r="AH15" s="595"/>
      <c r="AI15" s="595"/>
      <c r="AJ15" s="595"/>
      <c r="AK15" s="595"/>
      <c r="AL15" s="595"/>
      <c r="AM15" s="1850"/>
    </row>
    <row s="1850" customFormat="1" customHeight="1" ht="15.75">
      <c r="A16" s="293"/>
      <c r="B16" s="293"/>
      <c r="C16" s="176"/>
      <c r="D16" s="2127"/>
      <c r="E16" s="2129"/>
      <c r="F16" s="2126"/>
      <c r="G16" s="2132"/>
      <c r="H16" s="2133"/>
      <c r="I16" s="2125"/>
      <c r="J16" s="2126"/>
      <c r="K16" s="421"/>
      <c r="L16" s="177"/>
      <c r="M16" s="607" t="s">
        <v>126</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0" customFormat="1" customHeight="1" ht="15.75">
      <c r="A17" s="293"/>
      <c r="B17" s="293"/>
      <c r="C17" s="176"/>
      <c r="D17" s="2127"/>
      <c r="E17" s="2130"/>
      <c r="F17" s="2126"/>
      <c r="G17" s="1060"/>
      <c r="H17" s="1061"/>
      <c r="I17" s="580" t="s">
        <v>127</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128</v>
      </c>
      <c r="F18" s="177"/>
      <c r="G18" s="177"/>
      <c r="H18" s="177"/>
      <c r="I18" s="177"/>
      <c r="J18" s="177"/>
      <c r="K18" s="177" t="s">
        <v>22</v>
      </c>
      <c r="L18" s="177"/>
      <c r="M18" s="608"/>
      <c r="N18" s="1627"/>
      <c r="AM18" s="583">
        <v>15</v>
      </c>
    </row>
    <row customHeight="1" ht="11.25" hidden="1">
      <c r="A19" s="583" t="s">
        <v>83</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645B5-EF87-BAE8-A808-12032B2110E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416"/>
      <c r="C3" s="2417" t="s">
        <v>121</v>
      </c>
      <c r="D3" s="689" t="str">
        <f>B3&amp;".1"</f>
        <v>.1</v>
      </c>
      <c r="E3" s="690" t="s">
        <v>980</v>
      </c>
      <c r="F3" s="691" t="s">
        <v>311</v>
      </c>
      <c r="G3" s="686"/>
      <c r="H3" s="401"/>
      <c r="I3" s="686"/>
      <c r="J3" s="401"/>
      <c r="K3" s="2372"/>
      <c r="L3" s="818"/>
      <c r="M3" s="2372"/>
      <c r="N3" s="818"/>
      <c r="O3" s="289" t="s">
        <v>981</v>
      </c>
      <c r="Z3" s="505">
        <v>0</v>
      </c>
    </row>
    <row customHeight="1" ht="15" hidden="1">
      <c r="A4" s="505"/>
      <c r="B4" s="2416"/>
      <c r="C4" s="2417"/>
      <c r="D4" s="689" t="str">
        <f>B3&amp;".2"</f>
        <v>.2</v>
      </c>
      <c r="E4" s="690" t="s">
        <v>982</v>
      </c>
      <c r="F4" s="691" t="s">
        <v>311</v>
      </c>
      <c r="G4" s="1737" t="s">
        <v>22</v>
      </c>
      <c r="H4" s="401"/>
      <c r="I4" s="1737" t="s">
        <v>22</v>
      </c>
      <c r="J4" s="401"/>
      <c r="K4" s="1737" t="s">
        <v>22</v>
      </c>
      <c r="L4" s="818"/>
      <c r="M4" s="1737" t="s">
        <v>22</v>
      </c>
      <c r="N4" s="818"/>
      <c r="O4" s="289" t="s">
        <v>983</v>
      </c>
      <c r="Z4" s="505">
        <v>0</v>
      </c>
    </row>
    <row s="1366" customFormat="1" customHeight="1" ht="15" hidden="1">
      <c r="C5" s="672"/>
      <c r="K5" s="1366"/>
      <c r="L5" s="1366"/>
      <c r="M5" s="1366"/>
      <c r="N5" s="1366"/>
      <c r="Y5" s="420"/>
      <c r="Z5" s="417">
        <v>0</v>
      </c>
    </row>
    <row customHeight="1" ht="22.5" hidden="1">
      <c r="A6" s="505"/>
      <c r="B6" s="2416"/>
      <c r="C6" s="2417" t="s">
        <v>121</v>
      </c>
      <c r="D6" s="689" t="str">
        <f>B6&amp;".1"</f>
        <v>.1</v>
      </c>
      <c r="E6" s="690" t="s">
        <v>984</v>
      </c>
      <c r="F6" s="691" t="s">
        <v>311</v>
      </c>
      <c r="G6" s="686"/>
      <c r="H6" s="401"/>
      <c r="I6" s="686"/>
      <c r="J6" s="401"/>
      <c r="K6" s="2372"/>
      <c r="L6" s="818"/>
      <c r="M6" s="2372"/>
      <c r="N6" s="818"/>
      <c r="O6" s="289" t="s">
        <v>985</v>
      </c>
      <c r="Z6" s="505">
        <v>0</v>
      </c>
    </row>
    <row customHeight="1" ht="15" hidden="1">
      <c r="A7" s="505"/>
      <c r="B7" s="2416"/>
      <c r="C7" s="2417"/>
      <c r="D7" s="689" t="str">
        <f>B6&amp;".2"</f>
        <v>.2</v>
      </c>
      <c r="E7" s="690" t="s">
        <v>982</v>
      </c>
      <c r="F7" s="691" t="s">
        <v>311</v>
      </c>
      <c r="G7" s="1737" t="s">
        <v>22</v>
      </c>
      <c r="H7" s="401"/>
      <c r="I7" s="1737" t="s">
        <v>22</v>
      </c>
      <c r="J7" s="401"/>
      <c r="K7" s="1737" t="s">
        <v>22</v>
      </c>
      <c r="L7" s="818"/>
      <c r="M7" s="1737" t="s">
        <v>22</v>
      </c>
      <c r="N7" s="818"/>
      <c r="O7" s="289" t="s">
        <v>983</v>
      </c>
      <c r="Z7" s="505">
        <v>0</v>
      </c>
    </row>
    <row s="1366" customFormat="1" customHeight="1" ht="15" hidden="1">
      <c r="C8" s="672"/>
      <c r="K8" s="1366"/>
      <c r="L8" s="1366"/>
      <c r="M8" s="1366"/>
      <c r="N8" s="1366"/>
      <c r="Y8" s="420"/>
      <c r="Z8" s="417">
        <v>0</v>
      </c>
    </row>
    <row customHeight="1" ht="22.5" hidden="1">
      <c r="A9" s="505"/>
      <c r="B9" s="2416"/>
      <c r="C9" s="2417" t="s">
        <v>121</v>
      </c>
      <c r="D9" s="689" t="str">
        <f>B9&amp;".1"</f>
        <v>.1</v>
      </c>
      <c r="E9" s="690" t="s">
        <v>986</v>
      </c>
      <c r="F9" s="691" t="s">
        <v>311</v>
      </c>
      <c r="G9" s="697" t="s">
        <v>22</v>
      </c>
      <c r="H9" s="401" t="s">
        <v>22</v>
      </c>
      <c r="I9" s="697" t="s">
        <v>22</v>
      </c>
      <c r="J9" s="401" t="s">
        <v>22</v>
      </c>
      <c r="K9" s="861" t="s">
        <v>22</v>
      </c>
      <c r="L9" s="818" t="s">
        <v>22</v>
      </c>
      <c r="M9" s="861" t="s">
        <v>22</v>
      </c>
      <c r="N9" s="818" t="s">
        <v>22</v>
      </c>
      <c r="O9" s="289"/>
      <c r="Z9" s="505">
        <v>0</v>
      </c>
    </row>
    <row customHeight="1" ht="15" hidden="1">
      <c r="A10" s="505"/>
      <c r="B10" s="2416"/>
      <c r="C10" s="2417"/>
      <c r="D10" s="689" t="str">
        <f>B9&amp;".2"</f>
        <v>.2</v>
      </c>
      <c r="E10" s="690" t="s">
        <v>987</v>
      </c>
      <c r="F10" s="691" t="s">
        <v>311</v>
      </c>
      <c r="G10" s="1731" t="s">
        <v>22</v>
      </c>
      <c r="H10" s="401" t="s">
        <v>22</v>
      </c>
      <c r="I10" s="1731" t="s">
        <v>22</v>
      </c>
      <c r="J10" s="401" t="s">
        <v>22</v>
      </c>
      <c r="K10" s="1731" t="s">
        <v>22</v>
      </c>
      <c r="L10" s="818" t="s">
        <v>22</v>
      </c>
      <c r="M10" s="1731" t="s">
        <v>22</v>
      </c>
      <c r="N10" s="818" t="s">
        <v>22</v>
      </c>
      <c r="O10" s="289" t="s">
        <v>988</v>
      </c>
      <c r="Z10" s="505">
        <v>0</v>
      </c>
    </row>
    <row customHeight="1" ht="15" hidden="1">
      <c r="A11" s="505"/>
      <c r="B11" s="2416"/>
      <c r="C11" s="2417"/>
      <c r="D11" s="689" t="str">
        <f>B9&amp;".3"</f>
        <v>.3</v>
      </c>
      <c r="E11" s="690" t="s">
        <v>989</v>
      </c>
      <c r="F11" s="691" t="s">
        <v>311</v>
      </c>
      <c r="G11" s="1731" t="s">
        <v>22</v>
      </c>
      <c r="H11" s="401" t="s">
        <v>22</v>
      </c>
      <c r="I11" s="1731" t="s">
        <v>22</v>
      </c>
      <c r="J11" s="401" t="s">
        <v>22</v>
      </c>
      <c r="K11" s="1731" t="s">
        <v>22</v>
      </c>
      <c r="L11" s="818" t="s">
        <v>22</v>
      </c>
      <c r="M11" s="1731" t="s">
        <v>22</v>
      </c>
      <c r="N11" s="818" t="s">
        <v>22</v>
      </c>
      <c r="O11" s="289" t="s">
        <v>990</v>
      </c>
      <c r="Z11" s="505">
        <v>0</v>
      </c>
    </row>
    <row s="1366" customFormat="1" customHeight="1" ht="15" hidden="1">
      <c r="C12" s="672"/>
      <c r="K12" s="1366"/>
      <c r="L12" s="1366"/>
      <c r="M12" s="1366"/>
      <c r="N12" s="1366"/>
      <c r="Y12" s="420"/>
      <c r="Z12" s="417">
        <v>0</v>
      </c>
    </row>
    <row customHeight="1" ht="33.75" hidden="1">
      <c r="A13" s="505"/>
      <c r="B13" s="2416"/>
      <c r="C13" s="2417" t="s">
        <v>121</v>
      </c>
      <c r="D13" s="689" t="str">
        <f>B13&amp;".1"</f>
        <v>.1</v>
      </c>
      <c r="E13" s="690" t="s">
        <v>991</v>
      </c>
      <c r="F13" s="691" t="s">
        <v>311</v>
      </c>
      <c r="G13" s="697" t="s">
        <v>22</v>
      </c>
      <c r="H13" s="401" t="s">
        <v>22</v>
      </c>
      <c r="I13" s="697" t="s">
        <v>22</v>
      </c>
      <c r="J13" s="401" t="s">
        <v>22</v>
      </c>
      <c r="K13" s="861" t="s">
        <v>22</v>
      </c>
      <c r="L13" s="818" t="s">
        <v>22</v>
      </c>
      <c r="M13" s="861" t="s">
        <v>22</v>
      </c>
      <c r="N13" s="818" t="s">
        <v>22</v>
      </c>
      <c r="O13" s="289" t="s">
        <v>992</v>
      </c>
      <c r="Z13" s="505">
        <v>0</v>
      </c>
    </row>
    <row customHeight="1" ht="15" hidden="1">
      <c r="B14" s="2416"/>
      <c r="C14" s="2417"/>
      <c r="D14" s="689" t="str">
        <f>B13&amp;".2"</f>
        <v>.2</v>
      </c>
      <c r="E14" s="690" t="s">
        <v>993</v>
      </c>
      <c r="F14" s="691" t="s">
        <v>311</v>
      </c>
      <c r="G14" s="1731" t="s">
        <v>22</v>
      </c>
      <c r="H14" s="401" t="s">
        <v>22</v>
      </c>
      <c r="I14" s="1731" t="s">
        <v>22</v>
      </c>
      <c r="J14" s="401" t="s">
        <v>22</v>
      </c>
      <c r="K14" s="1731" t="s">
        <v>22</v>
      </c>
      <c r="L14" s="818" t="s">
        <v>22</v>
      </c>
      <c r="M14" s="1731" t="s">
        <v>22</v>
      </c>
      <c r="N14" s="818" t="s">
        <v>22</v>
      </c>
      <c r="O14" s="289" t="s">
        <v>994</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6"/>
      <c r="F22" s="2256"/>
      <c r="G22" s="2256"/>
      <c r="H22" s="2256"/>
      <c r="I22" s="2256"/>
      <c r="J22" s="676"/>
      <c r="K22" s="2267"/>
      <c r="L22" s="2267"/>
      <c r="M22" s="2267"/>
      <c r="N22" s="2267"/>
      <c r="O22" s="537"/>
      <c r="Z22" s="505">
        <v>22</v>
      </c>
    </row>
    <row customHeight="1" ht="15.75">
      <c r="C23" s="176"/>
      <c r="D23" s="2195" t="str">
        <f>IF(org=0,"Не определено",org)</f>
        <v>Муниципальное унитарное предприятие "Невельские коммунальные сети"</v>
      </c>
      <c r="E23" s="2195"/>
      <c r="F23" s="2195"/>
      <c r="G23" s="2195"/>
      <c r="H23" s="2195"/>
      <c r="I23" s="2195"/>
      <c r="J23" s="676"/>
      <c r="K23" s="2268"/>
      <c r="L23" s="2268"/>
      <c r="M23" s="2268"/>
      <c r="N23" s="2268"/>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118</v>
      </c>
      <c r="J25" s="752"/>
      <c r="K25" s="1366" t="s">
        <v>123</v>
      </c>
      <c r="L25" s="752"/>
      <c r="M25" s="1366" t="s">
        <v>125</v>
      </c>
      <c r="N25" s="752"/>
      <c r="O25" s="417"/>
      <c r="Y25" s="675"/>
      <c r="Z25" s="758">
        <v>1</v>
      </c>
    </row>
    <row customHeight="1" ht="15.75">
      <c r="C26" s="176"/>
      <c r="D26" s="711"/>
      <c r="E26" s="2386" t="s">
        <v>106</v>
      </c>
      <c r="F26" s="2387"/>
      <c r="G26" s="2414" t="str">
        <f>IF(G25="","",INDEX(DIFFERENTIATION_UNMERGE_VD,MATCH(G25,DIFFERENTIATION_ID_DIFF,0)))</f>
        <v/>
      </c>
      <c r="H26" s="2415"/>
      <c r="I26" s="2414" t="str">
        <f>IF(I25="","",INDEX(DIFFERENTIATION_UNMERGE_VD,MATCH(I25,DIFFERENTIATION_ID_DIFF,0)))</f>
        <v>Производство тепловой энергии. Некомбинированная выработка</v>
      </c>
      <c r="J26" s="2415"/>
      <c r="K26" s="2414" t="str">
        <f>IF(K25="","",INDEX(DIFFERENTIATION_UNMERGE_VD,MATCH(K25,DIFFERENTIATION_ID_DIFF,0)))</f>
        <v>Производство тепловой энергии. Некомбинированная выработка</v>
      </c>
      <c r="L26" s="2415"/>
      <c r="M26" s="2414" t="str">
        <f>IF(M25="","",INDEX(DIFFERENTIATION_UNMERGE_VD,MATCH(M25,DIFFERENTIATION_ID_DIFF,0)))</f>
        <v>Производство тепловой энергии. Некомбинированная выработка</v>
      </c>
      <c r="N26" s="2415"/>
      <c r="O26" s="2194" t="s">
        <v>306</v>
      </c>
      <c r="Z26" s="505">
        <v>15</v>
      </c>
    </row>
    <row s="1635" customFormat="1" customHeight="1" ht="15.75">
      <c r="A27" s="759"/>
      <c r="C27" s="176"/>
      <c r="D27" s="711"/>
      <c r="E27" s="2386" t="s">
        <v>567</v>
      </c>
      <c r="F27" s="2387"/>
      <c r="G27" s="2414" t="str">
        <f>IF(G25="","",INDEX(DIFFERENTIATION_UNMERGE_AREA,MATCH(G25,DIFFERENTIATION_ID_DIFF,0)))</f>
        <v/>
      </c>
      <c r="H27" s="2415"/>
      <c r="I27" s="2414" t="str">
        <f>IF(I25="","",INDEX(DIFFERENTIATION_UNMERGE_AREA,MATCH(I25,DIFFERENTIATION_ID_DIFF,0)))</f>
        <v>Территория 1</v>
      </c>
      <c r="J27" s="2415"/>
      <c r="K27" s="2414" t="str">
        <f>IF(K25="","",INDEX(DIFFERENTIATION_UNMERGE_AREA,MATCH(K25,DIFFERENTIATION_ID_DIFF,0)))</f>
        <v>Территория 1</v>
      </c>
      <c r="L27" s="2415"/>
      <c r="M27" s="2414" t="str">
        <f>IF(M25="","",INDEX(DIFFERENTIATION_UNMERGE_AREA,MATCH(M25,DIFFERENTIATION_ID_DIFF,0)))</f>
        <v>Территория 1</v>
      </c>
      <c r="N27" s="2415"/>
      <c r="O27" s="2214"/>
      <c r="Y27" s="675"/>
      <c r="Z27" s="758">
        <v>15</v>
      </c>
    </row>
    <row s="1635" customFormat="1" customHeight="1" ht="15.75">
      <c r="A28" s="759"/>
      <c r="C28" s="176"/>
      <c r="D28" s="711"/>
      <c r="E28" s="2386" t="s">
        <v>568</v>
      </c>
      <c r="F28" s="2387"/>
      <c r="G28" s="2414" t="str">
        <f>IF(G25="","",INDEX(DIFFERENTIATION_UNMERGE_SYSTEM,MATCH(G25,DIFFERENTIATION_ID_DIFF,0)))</f>
        <v/>
      </c>
      <c r="H28" s="2415"/>
      <c r="I28" s="2414" t="str">
        <f>IF(I25="","",INDEX(DIFFERENTIATION_UNMERGE_SYSTEM,MATCH(I25,DIFFERENTIATION_ID_DIFF,0)))</f>
        <v>Теплоснабжение за исключением сел Горнозаводск и Шебунино</v>
      </c>
      <c r="J28" s="2415"/>
      <c r="K28" s="2414" t="str">
        <f>IF(K25="","",INDEX(DIFFERENTIATION_UNMERGE_SYSTEM,MATCH(K25,DIFFERENTIATION_ID_DIFF,0)))</f>
        <v>Теплоснабжение с.Горнозаводск</v>
      </c>
      <c r="L28" s="2415"/>
      <c r="M28" s="2414" t="str">
        <f>IF(M25="","",INDEX(DIFFERENTIATION_UNMERGE_SYSTEM,MATCH(M25,DIFFERENTIATION_ID_DIFF,0)))</f>
        <v>Теплоснабжение с.Шебунино</v>
      </c>
      <c r="N28" s="2415"/>
      <c r="O28" s="2214"/>
      <c r="Y28" s="675"/>
      <c r="Z28" s="758">
        <v>15</v>
      </c>
    </row>
    <row s="1635" customFormat="1" customHeight="1" ht="15.75">
      <c r="A29" s="759"/>
      <c r="C29" s="176"/>
      <c r="D29" s="2388" t="s">
        <v>305</v>
      </c>
      <c r="E29" s="2389"/>
      <c r="F29" s="2389"/>
      <c r="G29" s="887"/>
      <c r="H29" s="887"/>
      <c r="I29" s="887"/>
      <c r="J29" s="888"/>
      <c r="K29" s="2386"/>
      <c r="L29" s="2386"/>
      <c r="M29" s="2386"/>
      <c r="N29" s="2386"/>
      <c r="O29" s="2214"/>
      <c r="Y29" s="675"/>
      <c r="Z29" s="758">
        <v>15</v>
      </c>
    </row>
    <row customHeight="1" ht="35.699999999999996">
      <c r="C30" s="176"/>
      <c r="D30" s="761" t="s">
        <v>89</v>
      </c>
      <c r="E30" s="760" t="s">
        <v>307</v>
      </c>
      <c r="F30" s="760" t="s">
        <v>569</v>
      </c>
      <c r="G30" s="808" t="s">
        <v>308</v>
      </c>
      <c r="H30" s="807" t="s">
        <v>395</v>
      </c>
      <c r="I30" s="684" t="s">
        <v>308</v>
      </c>
      <c r="J30" s="465" t="s">
        <v>395</v>
      </c>
      <c r="K30" s="2281" t="s">
        <v>308</v>
      </c>
      <c r="L30" s="2331" t="s">
        <v>395</v>
      </c>
      <c r="M30" s="2281" t="s">
        <v>308</v>
      </c>
      <c r="N30" s="2331" t="s">
        <v>395</v>
      </c>
      <c r="O30" s="2220"/>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995</v>
      </c>
      <c r="C32" s="526"/>
      <c r="D32" s="692">
        <v>1</v>
      </c>
      <c r="E32" s="693" t="s">
        <v>996</v>
      </c>
      <c r="F32" s="691" t="s">
        <v>311</v>
      </c>
      <c r="G32" s="813" t="s">
        <v>311</v>
      </c>
      <c r="H32" s="813" t="s">
        <v>311</v>
      </c>
      <c r="I32" s="691" t="s">
        <v>311</v>
      </c>
      <c r="J32" s="691" t="s">
        <v>311</v>
      </c>
      <c r="K32" s="2282" t="s">
        <v>311</v>
      </c>
      <c r="L32" s="2282" t="s">
        <v>311</v>
      </c>
      <c r="M32" s="2282" t="s">
        <v>311</v>
      </c>
      <c r="N32" s="2282" t="s">
        <v>311</v>
      </c>
      <c r="O32" s="289"/>
      <c r="Z32" s="505">
        <v>23</v>
      </c>
    </row>
    <row customHeight="1" ht="11.549999999999999">
      <c r="A33" s="505"/>
      <c r="C33" s="505"/>
      <c r="D33" s="347"/>
      <c r="E33" s="580" t="s">
        <v>608</v>
      </c>
      <c r="F33" s="572"/>
      <c r="G33" s="572"/>
      <c r="H33" s="572"/>
      <c r="I33" s="572"/>
      <c r="J33" s="572"/>
      <c r="K33" s="2676"/>
      <c r="L33" s="2677"/>
      <c r="M33" s="2678"/>
      <c r="N33" s="2679"/>
      <c r="O33" s="573"/>
      <c r="Y33" s="505"/>
      <c r="Z33" s="505">
        <v>11</v>
      </c>
    </row>
    <row customHeight="1" ht="24">
      <c r="A34" s="505"/>
      <c r="B34" s="581" t="s">
        <v>662</v>
      </c>
      <c r="C34" s="526"/>
      <c r="D34" s="692">
        <v>2</v>
      </c>
      <c r="E34" s="693" t="s">
        <v>997</v>
      </c>
      <c r="F34" s="820" t="s">
        <v>311</v>
      </c>
      <c r="G34" s="820" t="s">
        <v>311</v>
      </c>
      <c r="H34" s="820" t="s">
        <v>311</v>
      </c>
      <c r="I34" s="691"/>
      <c r="J34" s="691"/>
      <c r="K34" s="2282" t="s">
        <v>311</v>
      </c>
      <c r="L34" s="2282" t="s">
        <v>311</v>
      </c>
      <c r="M34" s="2282" t="s">
        <v>311</v>
      </c>
      <c r="N34" s="2282" t="s">
        <v>311</v>
      </c>
      <c r="O34" s="289"/>
      <c r="Z34" s="505">
        <v>23</v>
      </c>
    </row>
    <row customHeight="1" ht="11.549999999999999">
      <c r="A35" s="505"/>
      <c r="C35" s="505"/>
      <c r="D35" s="347"/>
      <c r="E35" s="580" t="s">
        <v>998</v>
      </c>
      <c r="F35" s="572"/>
      <c r="G35" s="694"/>
      <c r="H35" s="572"/>
      <c r="I35" s="694"/>
      <c r="J35" s="572"/>
      <c r="K35" s="2680"/>
      <c r="L35" s="2681"/>
      <c r="M35" s="2682"/>
      <c r="N35" s="2683"/>
      <c r="O35" s="573"/>
      <c r="Y35" s="505"/>
      <c r="Z35" s="505">
        <v>11</v>
      </c>
    </row>
    <row customHeight="1" ht="71.25">
      <c r="A36" s="505"/>
      <c r="B36" s="505" t="s">
        <v>999</v>
      </c>
      <c r="C36" s="526"/>
      <c r="D36" s="692">
        <v>3</v>
      </c>
      <c r="E36" s="693" t="s">
        <v>1000</v>
      </c>
      <c r="F36" s="695" t="s">
        <v>311</v>
      </c>
      <c r="G36" s="814" t="s">
        <v>1001</v>
      </c>
      <c r="H36" s="813" t="s">
        <v>311</v>
      </c>
      <c r="I36" s="524" t="s">
        <v>1001</v>
      </c>
      <c r="J36" s="691" t="s">
        <v>311</v>
      </c>
      <c r="K36" s="2126" t="s">
        <v>1001</v>
      </c>
      <c r="L36" s="2282" t="s">
        <v>311</v>
      </c>
      <c r="M36" s="2126" t="s">
        <v>1001</v>
      </c>
      <c r="N36" s="2282" t="s">
        <v>311</v>
      </c>
      <c r="O36" s="289" t="s">
        <v>1002</v>
      </c>
      <c r="Z36" s="505">
        <v>68</v>
      </c>
    </row>
    <row customHeight="1" ht="11.549999999999999">
      <c r="A37" s="505"/>
      <c r="C37" s="505"/>
      <c r="D37" s="347"/>
      <c r="E37" s="580" t="s">
        <v>1003</v>
      </c>
      <c r="F37" s="572"/>
      <c r="G37" s="694"/>
      <c r="H37" s="694"/>
      <c r="I37" s="694"/>
      <c r="J37" s="694"/>
      <c r="K37" s="2684"/>
      <c r="L37" s="2685"/>
      <c r="M37" s="2686"/>
      <c r="N37" s="2687"/>
      <c r="O37" s="573"/>
      <c r="Y37" s="505"/>
      <c r="Z37" s="505">
        <v>11</v>
      </c>
    </row>
    <row customHeight="1" ht="71.25">
      <c r="A38" s="505"/>
      <c r="B38" s="505" t="s">
        <v>1004</v>
      </c>
      <c r="C38" s="526"/>
      <c r="D38" s="692">
        <v>4</v>
      </c>
      <c r="E38" s="693" t="s">
        <v>1005</v>
      </c>
      <c r="F38" s="695" t="s">
        <v>311</v>
      </c>
      <c r="G38" s="814" t="s">
        <v>1001</v>
      </c>
      <c r="H38" s="815" t="s">
        <v>311</v>
      </c>
      <c r="I38" s="524" t="s">
        <v>1001</v>
      </c>
      <c r="J38" s="521" t="s">
        <v>311</v>
      </c>
      <c r="K38" s="2126" t="s">
        <v>1001</v>
      </c>
      <c r="L38" s="2331" t="s">
        <v>311</v>
      </c>
      <c r="M38" s="2126" t="s">
        <v>1001</v>
      </c>
      <c r="N38" s="2331" t="s">
        <v>311</v>
      </c>
      <c r="O38" s="679" t="s">
        <v>1006</v>
      </c>
      <c r="Z38" s="505">
        <v>68</v>
      </c>
    </row>
    <row customHeight="1" ht="11.549999999999999">
      <c r="A39" s="505"/>
      <c r="C39" s="505"/>
      <c r="D39" s="347"/>
      <c r="E39" s="580" t="s">
        <v>1007</v>
      </c>
      <c r="F39" s="572"/>
      <c r="G39" s="572"/>
      <c r="H39" s="696"/>
      <c r="I39" s="572"/>
      <c r="J39" s="696"/>
      <c r="K39" s="2688"/>
      <c r="L39" s="2689"/>
      <c r="M39" s="2690"/>
      <c r="N39" s="2691"/>
      <c r="O39" s="573"/>
      <c r="Y39" s="505"/>
      <c r="Z39" s="505">
        <v>11</v>
      </c>
    </row>
    <row customHeight="1" ht="22.5" hidden="1">
      <c r="A40" s="449" t="s">
        <v>83</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DB3E6-EED8-C2A8-FD08-31CDF6BC1748}"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1008</v>
      </c>
      <c r="H3" s="1156"/>
      <c r="AE3" s="759">
        <v>0</v>
      </c>
    </row>
    <row customHeight="1" ht="3">
      <c r="AE4" s="758">
        <v>3</v>
      </c>
    </row>
    <row customHeight="1" ht="27.299999999999997">
      <c r="F5" s="22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7"/>
      <c r="H5" s="2267"/>
      <c r="I5" s="2267"/>
      <c r="J5" s="2267"/>
      <c r="K5" s="2267"/>
      <c r="M5" s="582"/>
      <c r="AB5" s="906"/>
      <c r="AE5" s="758">
        <v>26</v>
      </c>
    </row>
    <row s="1635" customFormat="1" customHeight="1" ht="16.8">
      <c r="A6" s="1166"/>
      <c r="B6" s="1166"/>
      <c r="C6" s="1166"/>
      <c r="D6" s="1160"/>
      <c r="E6" s="1635"/>
      <c r="F6" s="2268" t="str">
        <f>IF(org=0,"Не определено",org)</f>
        <v>Муниципальное унитарное предприятие "Невельские коммунальные сети"</v>
      </c>
      <c r="G6" s="2268"/>
      <c r="H6" s="2268"/>
      <c r="I6" s="2268"/>
      <c r="J6" s="2268"/>
      <c r="K6" s="2268"/>
      <c r="M6" s="582"/>
      <c r="AB6" s="1148"/>
      <c r="AE6" s="1631">
        <v>16</v>
      </c>
    </row>
    <row customHeight="1" ht="10.5">
      <c r="AE7" s="758">
        <v>10</v>
      </c>
    </row>
    <row customHeight="1" ht="10.5">
      <c r="A8" s="1051"/>
      <c r="B8" s="1051"/>
      <c r="C8" s="1051"/>
      <c r="F8" s="2120" t="s">
        <v>305</v>
      </c>
      <c r="G8" s="2121"/>
      <c r="H8" s="2121"/>
      <c r="I8" s="2121"/>
      <c r="J8" s="2121"/>
      <c r="K8" s="2121"/>
      <c r="L8" s="2121"/>
      <c r="M8" s="2121"/>
      <c r="N8" s="2121"/>
      <c r="O8" s="2121"/>
      <c r="P8" s="2121"/>
      <c r="Q8" s="2121"/>
      <c r="R8" s="2121"/>
      <c r="S8" s="2121"/>
      <c r="T8" s="2121"/>
      <c r="U8" s="2121"/>
      <c r="V8" s="2121"/>
      <c r="W8" s="2121"/>
      <c r="X8" s="2121"/>
      <c r="Y8" s="2121"/>
      <c r="Z8" s="2121"/>
      <c r="AA8" s="2121"/>
      <c r="AB8" s="2122"/>
      <c r="AE8" s="758">
        <v>10</v>
      </c>
    </row>
    <row customHeight="1" ht="43.050000000000004">
      <c r="A9" s="905"/>
      <c r="B9" s="905"/>
      <c r="C9" s="905"/>
      <c r="F9" s="2146" t="s">
        <v>89</v>
      </c>
      <c r="G9" s="2146" t="s">
        <v>1008</v>
      </c>
      <c r="H9" s="2194" t="s">
        <v>1009</v>
      </c>
      <c r="I9" s="2146" t="s">
        <v>1010</v>
      </c>
      <c r="J9" s="2146" t="s">
        <v>1011</v>
      </c>
      <c r="K9" s="2146" t="s">
        <v>1012</v>
      </c>
      <c r="L9" s="2146" t="s">
        <v>1013</v>
      </c>
      <c r="M9" s="2146" t="s">
        <v>1014</v>
      </c>
      <c r="N9" s="2228" t="s">
        <v>1015</v>
      </c>
      <c r="O9" s="2228"/>
      <c r="P9" s="2228"/>
      <c r="Q9" s="2418" t="s">
        <v>1016</v>
      </c>
      <c r="R9" s="2419"/>
      <c r="S9" s="2419"/>
      <c r="T9" s="2420"/>
      <c r="U9" s="2418" t="s">
        <v>1017</v>
      </c>
      <c r="V9" s="2419"/>
      <c r="W9" s="2419"/>
      <c r="X9" s="2420"/>
      <c r="Y9" s="2120" t="s">
        <v>1018</v>
      </c>
      <c r="Z9" s="2121"/>
      <c r="AA9" s="2121"/>
      <c r="AB9" s="2122"/>
      <c r="AE9" s="758">
        <v>41</v>
      </c>
    </row>
    <row customHeight="1" ht="43.050000000000004">
      <c r="A10" s="905"/>
      <c r="B10" s="905"/>
      <c r="C10" s="905"/>
      <c r="F10" s="2194"/>
      <c r="G10" s="2194"/>
      <c r="H10" s="2251"/>
      <c r="I10" s="2194"/>
      <c r="J10" s="2194"/>
      <c r="K10" s="2194"/>
      <c r="L10" s="2194"/>
      <c r="M10" s="2194"/>
      <c r="N10" s="903" t="s">
        <v>1019</v>
      </c>
      <c r="O10" s="903" t="s">
        <v>1020</v>
      </c>
      <c r="P10" s="904" t="s">
        <v>1021</v>
      </c>
      <c r="Q10" s="915" t="s">
        <v>90</v>
      </c>
      <c r="R10" s="915" t="s">
        <v>1022</v>
      </c>
      <c r="S10" s="915" t="s">
        <v>1023</v>
      </c>
      <c r="T10" s="916" t="s">
        <v>1024</v>
      </c>
      <c r="U10" s="915" t="s">
        <v>90</v>
      </c>
      <c r="V10" s="915" t="s">
        <v>1025</v>
      </c>
      <c r="W10" s="915" t="s">
        <v>1023</v>
      </c>
      <c r="X10" s="916" t="s">
        <v>1024</v>
      </c>
      <c r="Y10" s="301" t="s">
        <v>1026</v>
      </c>
      <c r="Z10" s="2120" t="s">
        <v>89</v>
      </c>
      <c r="AA10" s="2122"/>
      <c r="AB10" s="1049" t="s">
        <v>1027</v>
      </c>
      <c r="AE10" s="758">
        <v>41</v>
      </c>
    </row>
    <row s="1642" customFormat="1" customHeight="1" ht="5.25" hidden="1">
      <c r="A11" s="1052"/>
      <c r="B11" s="1052"/>
      <c r="C11" s="1052"/>
      <c r="E11" s="1050"/>
      <c r="F11" s="2425" t="s">
        <v>381</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1" t="s">
        <v>1028</v>
      </c>
      <c r="AE11" s="511">
        <v>0</v>
      </c>
    </row>
    <row s="1642" customFormat="1" customHeight="1" ht="5.25" hidden="1">
      <c r="A12" s="896"/>
      <c r="B12" s="896"/>
      <c r="C12" s="896"/>
      <c r="E12" s="518"/>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1">
        <v>0</v>
      </c>
    </row>
    <row customHeight="1" ht="40.91910418342142">
      <c r="A13" s="1166"/>
      <c r="B13" s="1166"/>
      <c r="C13" s="1166"/>
      <c r="D13" s="1160"/>
      <c r="E13" s="683" t="s">
        <v>121</v>
      </c>
      <c r="F13" s="2600" t="s">
        <v>110</v>
      </c>
      <c r="G13" s="2601" t="s">
        <v>1029</v>
      </c>
      <c r="H13" s="2602" t="s">
        <v>66</v>
      </c>
      <c r="I13" s="2604">
        <v>45085.61324074074</v>
      </c>
      <c r="J13" s="2567">
        <v>45436.6153125</v>
      </c>
      <c r="K13" s="2606" t="s">
        <v>1030</v>
      </c>
      <c r="L13" s="2569" t="s">
        <v>1031</v>
      </c>
      <c r="M13" s="2569" t="s">
        <v>1032</v>
      </c>
      <c r="N13" s="2570" t="s">
        <v>1033</v>
      </c>
      <c r="O13" s="2570" t="s">
        <v>1034</v>
      </c>
      <c r="P13" s="2571" t="str">
        <f>DATEDIF(DATEVALUE(N13),DATEVALUE(O13),"y")&amp;"г. "&amp;DATEDIF(DATEVALUE(N13),DATEVALUE(O13),"ym")&amp;"мес. "&amp;DATEVALUE(O13)-DATE(YEAR(DATEVALUE(O13)),MONTH(DATEVALUE(O13)),1)&amp;"дн. "</f>
        <v>2г. 11мес. 30дн. </v>
      </c>
      <c r="Q13" s="2566" t="s">
        <v>1035</v>
      </c>
      <c r="R13" s="2566" t="s">
        <v>1036</v>
      </c>
      <c r="S13" s="2566" t="s">
        <v>1037</v>
      </c>
      <c r="T13" s="2567" t="s">
        <v>1038</v>
      </c>
      <c r="U13" s="2566" t="s">
        <v>1039</v>
      </c>
      <c r="V13" s="2566" t="s">
        <v>1040</v>
      </c>
      <c r="W13" s="2566" t="s">
        <v>1041</v>
      </c>
      <c r="X13" s="2567">
        <v>45436.61796296296</v>
      </c>
      <c r="Y13" s="2564" t="s">
        <v>19</v>
      </c>
      <c r="Z13" s="1807"/>
      <c r="AA13" s="1791">
        <v>1</v>
      </c>
      <c r="AB13" s="2692" t="s">
        <v>22</v>
      </c>
      <c r="AC13" s="1635"/>
      <c r="AD13" s="1636" t="s">
        <v>1042</v>
      </c>
      <c r="AE13" s="1635"/>
    </row>
    <row customHeight="1" ht="152.97792771283318">
      <c r="A14" s="1166"/>
      <c r="B14" s="1166"/>
      <c r="C14" s="1166"/>
      <c r="D14" s="1160"/>
      <c r="E14" s="947"/>
      <c r="F14" s="2600" t="s">
        <v>381</v>
      </c>
      <c r="G14" s="2601"/>
      <c r="H14" s="2603"/>
      <c r="I14" s="2605"/>
      <c r="J14" s="2568"/>
      <c r="K14" s="2606"/>
      <c r="L14" s="2569"/>
      <c r="M14" s="2569"/>
      <c r="N14" s="2570"/>
      <c r="O14" s="2570"/>
      <c r="P14" s="2571"/>
      <c r="Q14" s="2566"/>
      <c r="R14" s="2566"/>
      <c r="S14" s="2566"/>
      <c r="T14" s="2568"/>
      <c r="U14" s="2566"/>
      <c r="V14" s="2566"/>
      <c r="W14" s="2566"/>
      <c r="X14" s="2568"/>
      <c r="Y14" s="2565"/>
      <c r="Z14" s="347"/>
      <c r="AA14" s="572"/>
      <c r="AB14" s="652" t="s">
        <v>1043</v>
      </c>
      <c r="AC14" s="1635"/>
      <c r="AD14" s="1635"/>
      <c r="AE14" s="1635"/>
    </row>
    <row customHeight="1" ht="10.5">
      <c r="F15" s="902"/>
      <c r="G15" s="650" t="s">
        <v>1044</v>
      </c>
      <c r="H15" s="1168"/>
      <c r="I15" s="572"/>
      <c r="J15" s="572"/>
      <c r="K15" s="572"/>
      <c r="L15" s="572"/>
      <c r="M15" s="572"/>
      <c r="N15" s="572"/>
      <c r="O15" s="572"/>
      <c r="P15" s="572"/>
      <c r="Q15" s="572"/>
      <c r="R15" s="572"/>
      <c r="S15" s="572"/>
      <c r="T15" s="572"/>
      <c r="U15" s="572"/>
      <c r="V15" s="572"/>
      <c r="W15" s="572"/>
      <c r="X15" s="572"/>
      <c r="Y15" s="572"/>
      <c r="Z15" s="696"/>
      <c r="AA15" s="696"/>
      <c r="AB15" s="917"/>
      <c r="AE15" s="758">
        <v>10</v>
      </c>
    </row>
    <row customHeight="1" ht="10.5">
      <c r="AE16" s="758">
        <v>10</v>
      </c>
    </row>
    <row s="1642" customFormat="1" customHeight="1" ht="10.5">
      <c r="A17" s="1167"/>
      <c r="B17" s="1167"/>
      <c r="C17" s="1167"/>
      <c r="E17" s="518"/>
      <c r="H17" s="511">
        <f>_xlfn.IFERROR(MATCH("нет",IP_MAIN_DIFFERENTIATION_EVENTS_FLAG,0),0)</f>
        <v>0</v>
      </c>
      <c r="AE17" s="511">
        <v>10</v>
      </c>
    </row>
    <row customHeight="1" ht="10.5" hidden="1">
      <c r="A18" s="895" t="s">
        <v>83</v>
      </c>
      <c r="B18" s="895">
        <v>0</v>
      </c>
      <c r="C18" s="895">
        <v>0</v>
      </c>
      <c r="D18" s="417">
        <v>0</v>
      </c>
      <c r="E18" s="509">
        <v>3</v>
      </c>
      <c r="F18" s="758">
        <v>6</v>
      </c>
      <c r="G18" s="758">
        <v>37</v>
      </c>
      <c r="H18" s="1155">
        <v>16</v>
      </c>
      <c r="I18" s="758">
        <v>19</v>
      </c>
      <c r="J18" s="758">
        <v>19</v>
      </c>
      <c r="K18" s="758">
        <v>24</v>
      </c>
      <c r="L18" s="758">
        <v>25</v>
      </c>
      <c r="M18" s="758">
        <v>25</v>
      </c>
      <c r="N18" s="758">
        <v>17</v>
      </c>
      <c r="O18" s="758">
        <v>17</v>
      </c>
      <c r="P18" s="758">
        <v>17</v>
      </c>
      <c r="Q18" s="758">
        <v>19</v>
      </c>
      <c r="R18" s="758">
        <v>19</v>
      </c>
      <c r="S18" s="758">
        <v>19</v>
      </c>
      <c r="T18" s="758">
        <v>19</v>
      </c>
      <c r="U18" s="758">
        <v>19</v>
      </c>
      <c r="V18" s="758">
        <v>19</v>
      </c>
      <c r="W18" s="758">
        <v>19</v>
      </c>
      <c r="X18" s="758">
        <v>19</v>
      </c>
      <c r="Y18" s="758">
        <v>7</v>
      </c>
      <c r="Z18" s="758">
        <v>3</v>
      </c>
      <c r="AA18" s="758">
        <v>6</v>
      </c>
      <c r="AB18" s="758">
        <v>34</v>
      </c>
      <c r="AC18" s="758">
        <v>8</v>
      </c>
      <c r="AD18" s="758">
        <v>8</v>
      </c>
      <c r="AE18" s="758">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175F8-5E2F-1697-1AFA-55F58CFA2A0D}" mc:Ignorable="x14ac xr xr2 xr3">
  <sheetPr>
    <tabColor theme="9" tint="-0.25"/>
  </sheetPr>
  <dimension ref="A1:BG74"/>
  <sheetViews>
    <sheetView showGridLines="0" zoomScale="90" workbookViewId="0">
      <pane xSplit="8" ySplit="12" topLeftCell="K13" activePane="bottomRight" state="frozen"/>
      <selection pane="bottomLeft" activeCell="A13" sqref="A13"/>
      <selection pane="topRight" activeCell="I1" sqref="I1"/>
      <selection pane="bottomRight" activeCell="AJ62" sqref="AJ62:AJ66"/>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hidden="1"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customWidth="1"/>
    <col min="31" max="31" style="1635" width="15.7109375" customWidth="1"/>
    <col min="32" max="34" style="1635" width="16.00390625" customWidth="1"/>
    <col min="35" max="37" style="1635" width="16.7109375"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25.31248728434244">
      <c r="F5" s="22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7"/>
      <c r="H5" s="2267"/>
      <c r="I5" s="2267"/>
      <c r="J5" s="2267"/>
      <c r="K5" s="2267"/>
      <c r="L5" s="1135"/>
      <c r="M5" s="1135"/>
      <c r="AG5" s="906"/>
      <c r="AH5" s="1148"/>
      <c r="BG5" s="758">
        <v>26</v>
      </c>
    </row>
    <row customHeight="1" ht="27.81248728434245">
      <c r="F6" s="2195" t="str">
        <f>IF(org=0,"Не определено",org)</f>
        <v>Муниципальное унитарное предприятие "Невельские коммунальные сети"</v>
      </c>
      <c r="G6" s="2195"/>
      <c r="H6" s="2195"/>
      <c r="I6" s="2195"/>
      <c r="J6" s="2195"/>
      <c r="K6" s="2195"/>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4" t="s">
        <v>305</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27" t="s">
        <v>1045</v>
      </c>
      <c r="G9" s="2428" t="s">
        <v>1046</v>
      </c>
      <c r="H9" s="2429"/>
      <c r="I9" s="2146" t="s">
        <v>1047</v>
      </c>
      <c r="J9" s="2146"/>
      <c r="K9" s="2146" t="s">
        <v>1048</v>
      </c>
      <c r="L9" s="2146"/>
      <c r="M9" s="2146"/>
      <c r="N9" s="2146"/>
      <c r="O9" s="2146"/>
      <c r="P9" s="2146"/>
      <c r="Q9" s="2146"/>
      <c r="R9" s="2146"/>
      <c r="S9" s="2146"/>
      <c r="T9" s="2146"/>
      <c r="U9" s="2146"/>
      <c r="V9" s="2146"/>
      <c r="W9" s="2146"/>
      <c r="X9" s="2146"/>
      <c r="Y9" s="2146"/>
      <c r="Z9" s="2211" t="s">
        <v>1049</v>
      </c>
      <c r="AA9" s="2212"/>
      <c r="AB9" s="2146" t="s">
        <v>1050</v>
      </c>
      <c r="AC9" s="2146"/>
      <c r="AD9" s="2146"/>
      <c r="AE9" s="2146"/>
      <c r="AF9" s="2194" t="s">
        <v>1051</v>
      </c>
      <c r="AG9" s="2146" t="s">
        <v>1052</v>
      </c>
      <c r="AH9" s="2146"/>
      <c r="AI9" s="2194" t="s">
        <v>1053</v>
      </c>
      <c r="AJ9" s="2146" t="s">
        <v>1054</v>
      </c>
      <c r="AK9" s="2146"/>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27"/>
      <c r="G10" s="2430"/>
      <c r="H10" s="2431"/>
      <c r="I10" s="2146"/>
      <c r="J10" s="2146"/>
      <c r="K10" s="2146" t="s">
        <v>1055</v>
      </c>
      <c r="L10" s="2120" t="s">
        <v>1056</v>
      </c>
      <c r="M10" s="2122"/>
      <c r="N10" s="2146" t="s">
        <v>1057</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27"/>
      <c r="G11" s="2430"/>
      <c r="H11" s="2431"/>
      <c r="I11" s="2146"/>
      <c r="J11" s="2146"/>
      <c r="K11" s="2146"/>
      <c r="L11" s="2194" t="s">
        <v>1058</v>
      </c>
      <c r="M11" s="2194" t="s">
        <v>1059</v>
      </c>
      <c r="N11" s="2146" t="s">
        <v>1060</v>
      </c>
      <c r="O11" s="2146"/>
      <c r="P11" s="2437" t="s">
        <v>1026</v>
      </c>
      <c r="Q11" s="2437" t="s">
        <v>1061</v>
      </c>
      <c r="R11" s="2437" t="s">
        <v>1062</v>
      </c>
      <c r="S11" s="2437" t="s">
        <v>1063</v>
      </c>
      <c r="T11" s="2437"/>
      <c r="U11" s="2437"/>
      <c r="V11" s="2437"/>
      <c r="W11" s="2437"/>
      <c r="X11" s="2437"/>
      <c r="Y11" s="2437"/>
      <c r="Z11" s="2213"/>
      <c r="AA11" s="2214"/>
      <c r="AB11" s="2146" t="s">
        <v>1064</v>
      </c>
      <c r="AC11" s="2146"/>
      <c r="AD11" s="2120" t="s">
        <v>1065</v>
      </c>
      <c r="AE11" s="2122"/>
      <c r="AF11" s="2218"/>
      <c r="AG11" s="2146"/>
      <c r="AH11" s="2146"/>
      <c r="AI11" s="2218"/>
      <c r="AJ11" s="2146"/>
      <c r="AK11" s="2146"/>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27"/>
      <c r="G12" s="2432"/>
      <c r="H12" s="2433"/>
      <c r="I12" s="1153" t="s">
        <v>90</v>
      </c>
      <c r="J12" s="1153" t="s">
        <v>1066</v>
      </c>
      <c r="K12" s="2146"/>
      <c r="L12" s="2251"/>
      <c r="M12" s="2251"/>
      <c r="N12" s="2146"/>
      <c r="O12" s="2146"/>
      <c r="P12" s="2437"/>
      <c r="Q12" s="2437"/>
      <c r="R12" s="2437"/>
      <c r="S12" s="1134" t="s">
        <v>87</v>
      </c>
      <c r="T12" s="1134" t="s">
        <v>88</v>
      </c>
      <c r="U12" s="1134" t="s">
        <v>86</v>
      </c>
      <c r="V12" s="1134" t="s">
        <v>1067</v>
      </c>
      <c r="W12" s="1134" t="s">
        <v>86</v>
      </c>
      <c r="X12" s="1134" t="s">
        <v>1068</v>
      </c>
      <c r="Y12" s="1134" t="s">
        <v>1069</v>
      </c>
      <c r="Z12" s="2219"/>
      <c r="AA12" s="2220"/>
      <c r="AB12" s="1141" t="s">
        <v>1070</v>
      </c>
      <c r="AC12" s="1141" t="s">
        <v>1071</v>
      </c>
      <c r="AD12" s="1141" t="s">
        <v>1070</v>
      </c>
      <c r="AE12" s="1141" t="s">
        <v>1071</v>
      </c>
      <c r="AF12" s="2251"/>
      <c r="AG12" s="1154" t="s">
        <v>1072</v>
      </c>
      <c r="AH12" s="1154" t="s">
        <v>1073</v>
      </c>
      <c r="AI12" s="2251"/>
      <c r="AJ12" s="1154" t="s">
        <v>1072</v>
      </c>
      <c r="AK12" s="1154" t="s">
        <v>1073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21">
      <c r="A14" s="1167" t="s">
        <v>1042</v>
      </c>
      <c r="B14" s="1166"/>
      <c r="C14" s="1166"/>
      <c r="D14" s="1160"/>
      <c r="E14" s="1170" t="s">
        <v>22</v>
      </c>
      <c r="F14" s="1122" t="str">
        <f>INDEX(IP_MAIN_LIST_NAME_IP,MATCH(A14,IP_MAIN_LIST_IP_ID,0))&amp;" ("&amp;INDEX(IP_MAIN_START_DATE,MATCH(A14,IP_MAIN_LIST_IP_ID,0))&amp;"-"&amp;INDEX(IP_MAIN_END_DATE,MATCH(A14,IP_MAIN_LIST_IP_ID,0))&amp;")"</f>
        <v>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 (01.01.2024-31.12.2026)</v>
      </c>
      <c r="G14" s="1123"/>
      <c r="H14" s="1123"/>
      <c r="I14" s="1185"/>
      <c r="J14" s="1185"/>
      <c r="K14" s="1186"/>
      <c r="L14" s="1186"/>
      <c r="M14" s="1186"/>
      <c r="N14" s="1187"/>
      <c r="O14" s="1187"/>
      <c r="P14" s="1187"/>
      <c r="Q14" s="1187"/>
      <c r="R14" s="1187"/>
      <c r="S14" s="1187"/>
      <c r="T14" s="1187"/>
      <c r="U14" s="1187"/>
      <c r="V14" s="1187"/>
      <c r="W14" s="1187"/>
      <c r="X14" s="1187"/>
      <c r="Y14" s="1187"/>
      <c r="Z14" s="1187"/>
      <c r="AA14" s="1187"/>
      <c r="AB14" s="1187"/>
      <c r="AC14" s="1187"/>
      <c r="AD14" s="1187"/>
      <c r="AE14" s="1188"/>
      <c r="AF14" s="1186"/>
      <c r="AG14" s="1186"/>
      <c r="AH14" s="1186"/>
      <c r="AI14" s="1186"/>
      <c r="AJ14" s="1186"/>
      <c r="AK14" s="1186"/>
      <c r="AL14" s="1985"/>
      <c r="AM14" s="1822"/>
      <c r="AN14" s="1822"/>
      <c r="AO14" s="1822"/>
      <c r="AP14" s="1822"/>
      <c r="AQ14" s="1822"/>
      <c r="AR14" s="1822"/>
      <c r="AS14" s="1822"/>
      <c r="AT14" s="1822"/>
      <c r="AU14" s="1822"/>
      <c r="AV14" s="1822"/>
      <c r="AW14" s="1822"/>
      <c r="AX14" s="1822"/>
      <c r="AY14" s="1822"/>
      <c r="AZ14" s="1822"/>
      <c r="BA14" s="1822"/>
      <c r="BB14" s="1822"/>
      <c r="BC14" s="1822"/>
      <c r="BD14" s="1822"/>
      <c r="BE14" s="1822"/>
      <c r="BF14" s="1822"/>
      <c r="BG14" s="1635"/>
    </row>
    <row customHeight="1" ht="0.75">
      <c r="A15" s="1166" t="s">
        <v>1042</v>
      </c>
      <c r="B15" s="1166"/>
      <c r="C15" s="1166"/>
      <c r="D15" s="1160"/>
      <c r="E15" s="1170"/>
      <c r="F15" s="2555">
        <v>2024</v>
      </c>
      <c r="G15" s="2534"/>
      <c r="H15" s="2559" t="s">
        <v>381</v>
      </c>
      <c r="I15" s="2560"/>
      <c r="J15" s="2561"/>
      <c r="K15" s="2561"/>
      <c r="L15" s="2553"/>
      <c r="M15" s="2287"/>
      <c r="N15" s="2033"/>
      <c r="O15" s="2032"/>
      <c r="P15" s="2033"/>
      <c r="Q15" s="2033"/>
      <c r="R15" s="2033"/>
      <c r="S15" s="2033"/>
      <c r="T15" s="2033"/>
      <c r="U15" s="2033"/>
      <c r="V15" s="2033"/>
      <c r="W15" s="2033"/>
      <c r="X15" s="2033"/>
      <c r="Y15" s="2033"/>
      <c r="Z15" s="2033"/>
      <c r="AA15" s="2033"/>
      <c r="AB15" s="2033"/>
      <c r="AC15" s="2033"/>
      <c r="AD15" s="2033"/>
      <c r="AE15" s="2033"/>
      <c r="AF15" s="2557"/>
      <c r="AG15" s="2553"/>
      <c r="AH15" s="2553"/>
      <c r="AI15" s="2557"/>
      <c r="AJ15" s="2553"/>
      <c r="AK15" s="2553"/>
      <c r="AL15" s="1985"/>
      <c r="AM15" s="1822"/>
      <c r="AN15" s="1822"/>
      <c r="AO15" s="1822"/>
      <c r="AP15" s="1822"/>
      <c r="AQ15" s="1822"/>
      <c r="AR15" s="1822"/>
      <c r="AS15" s="1822"/>
      <c r="AT15" s="1822"/>
      <c r="AU15" s="1822"/>
      <c r="AV15" s="1822"/>
      <c r="AW15" s="1822"/>
      <c r="AX15" s="1822"/>
      <c r="AY15" s="1822"/>
      <c r="AZ15" s="1822"/>
      <c r="BA15" s="1822"/>
      <c r="BB15" s="1822"/>
      <c r="BC15" s="1822"/>
      <c r="BD15" s="1822"/>
      <c r="BE15" s="1822"/>
      <c r="BF15" s="1822"/>
      <c r="BG15" s="1635"/>
    </row>
    <row customHeight="1" ht="0.75">
      <c r="A16" s="1166" t="s">
        <v>1042</v>
      </c>
      <c r="B16" s="1166"/>
      <c r="C16" s="1166"/>
      <c r="D16" s="1160"/>
      <c r="E16" s="1170"/>
      <c r="F16" s="2555"/>
      <c r="G16" s="2534"/>
      <c r="H16" s="2559"/>
      <c r="I16" s="2560"/>
      <c r="J16" s="2561"/>
      <c r="K16" s="2561"/>
      <c r="L16" s="2553"/>
      <c r="M16" s="2287"/>
      <c r="N16" s="2562"/>
      <c r="O16" s="2563"/>
      <c r="P16" s="2607"/>
      <c r="Q16" s="2558"/>
      <c r="R16" s="2558"/>
      <c r="S16" s="2558"/>
      <c r="T16" s="2558"/>
      <c r="U16" s="2558"/>
      <c r="V16" s="2558"/>
      <c r="W16" s="2558"/>
      <c r="X16" s="2558"/>
      <c r="Y16" s="2558"/>
      <c r="Z16" s="2034"/>
      <c r="AA16" s="2035"/>
      <c r="AB16" s="2035"/>
      <c r="AC16" s="2036"/>
      <c r="AD16" s="2036"/>
      <c r="AE16" s="2037"/>
      <c r="AF16" s="2557"/>
      <c r="AG16" s="2553"/>
      <c r="AH16" s="2553"/>
      <c r="AI16" s="2557"/>
      <c r="AJ16" s="2553"/>
      <c r="AK16" s="2553"/>
      <c r="AL16" s="1985"/>
      <c r="AM16" s="1822"/>
      <c r="AN16" s="1822"/>
      <c r="AO16" s="1822"/>
      <c r="AP16" s="1822"/>
      <c r="AQ16" s="1822"/>
      <c r="AR16" s="1822"/>
      <c r="AS16" s="1822"/>
      <c r="AT16" s="1822"/>
      <c r="AU16" s="1822"/>
      <c r="AV16" s="1822"/>
      <c r="AW16" s="1822"/>
      <c r="AX16" s="1822"/>
      <c r="AY16" s="1822"/>
      <c r="AZ16" s="1822"/>
      <c r="BA16" s="1822"/>
      <c r="BB16" s="1822"/>
      <c r="BC16" s="1822"/>
      <c r="BD16" s="1822"/>
      <c r="BE16" s="1822"/>
      <c r="BF16" s="1822"/>
      <c r="BG16" s="1635"/>
    </row>
    <row customHeight="1" ht="0.75">
      <c r="A17" s="1166" t="s">
        <v>1042</v>
      </c>
      <c r="B17" s="1166"/>
      <c r="C17" s="1166"/>
      <c r="D17" s="1160"/>
      <c r="E17" s="1170"/>
      <c r="F17" s="2555"/>
      <c r="G17" s="2534"/>
      <c r="H17" s="2559"/>
      <c r="I17" s="2560"/>
      <c r="J17" s="2561"/>
      <c r="K17" s="2561"/>
      <c r="L17" s="2553"/>
      <c r="M17" s="2287"/>
      <c r="N17" s="2562"/>
      <c r="O17" s="2563"/>
      <c r="P17" s="2608"/>
      <c r="Q17" s="2558"/>
      <c r="R17" s="2558"/>
      <c r="S17" s="2558"/>
      <c r="T17" s="2558"/>
      <c r="U17" s="2558"/>
      <c r="V17" s="2558"/>
      <c r="W17" s="2558"/>
      <c r="X17" s="2558"/>
      <c r="Y17" s="2558"/>
      <c r="Z17" s="2038"/>
      <c r="AA17" s="2039"/>
      <c r="AB17" s="2040"/>
      <c r="AC17" s="2041"/>
      <c r="AD17" s="2040"/>
      <c r="AE17" s="2041"/>
      <c r="AF17" s="2557"/>
      <c r="AG17" s="2553"/>
      <c r="AH17" s="2553"/>
      <c r="AI17" s="2557"/>
      <c r="AJ17" s="2553"/>
      <c r="AK17" s="2553"/>
      <c r="AL17" s="1985"/>
      <c r="AM17" s="1822"/>
      <c r="AN17" s="1822"/>
      <c r="AO17" s="1822"/>
      <c r="AP17" s="1822"/>
      <c r="AQ17" s="1822"/>
      <c r="AR17" s="1822"/>
      <c r="AS17" s="1822"/>
      <c r="AT17" s="1822"/>
      <c r="AU17" s="1822"/>
      <c r="AV17" s="1822"/>
      <c r="AW17" s="1822"/>
      <c r="AX17" s="1822"/>
      <c r="AY17" s="1822"/>
      <c r="AZ17" s="1822"/>
      <c r="BA17" s="1822"/>
      <c r="BB17" s="1822"/>
      <c r="BC17" s="1822"/>
      <c r="BD17" s="1822"/>
      <c r="BE17" s="1822"/>
      <c r="BF17" s="1822"/>
      <c r="BG17" s="1635"/>
    </row>
    <row customHeight="1" ht="0.75">
      <c r="A18" s="1166" t="s">
        <v>1042</v>
      </c>
      <c r="B18" s="1166"/>
      <c r="C18" s="1166"/>
      <c r="D18" s="1160"/>
      <c r="E18" s="1170"/>
      <c r="F18" s="2555"/>
      <c r="G18" s="2534"/>
      <c r="H18" s="2559"/>
      <c r="I18" s="2560"/>
      <c r="J18" s="2561"/>
      <c r="K18" s="2561"/>
      <c r="L18" s="2553"/>
      <c r="M18" s="2287"/>
      <c r="N18" s="2562"/>
      <c r="O18" s="2563"/>
      <c r="P18" s="2609"/>
      <c r="Q18" s="2558"/>
      <c r="R18" s="2558"/>
      <c r="S18" s="2558"/>
      <c r="T18" s="2558"/>
      <c r="U18" s="2558"/>
      <c r="V18" s="2558"/>
      <c r="W18" s="2558"/>
      <c r="X18" s="2558"/>
      <c r="Y18" s="2558"/>
      <c r="Z18" s="2034"/>
      <c r="AA18" s="2035"/>
      <c r="AB18" s="2042"/>
      <c r="AC18" s="2036"/>
      <c r="AD18" s="2036"/>
      <c r="AE18" s="2043"/>
      <c r="AF18" s="2557"/>
      <c r="AG18" s="2553"/>
      <c r="AH18" s="2553"/>
      <c r="AI18" s="2557"/>
      <c r="AJ18" s="2553"/>
      <c r="AK18" s="2553"/>
      <c r="AL18" s="1985"/>
      <c r="AM18" s="1822"/>
      <c r="AN18" s="1822"/>
      <c r="AO18" s="1822"/>
      <c r="AP18" s="1822"/>
      <c r="AQ18" s="1822"/>
      <c r="AR18" s="1822"/>
      <c r="AS18" s="1822"/>
      <c r="AT18" s="1822"/>
      <c r="AU18" s="1822"/>
      <c r="AV18" s="1822"/>
      <c r="AW18" s="1822"/>
      <c r="AX18" s="1822"/>
      <c r="AY18" s="1822"/>
      <c r="AZ18" s="1822"/>
      <c r="BA18" s="1822"/>
      <c r="BB18" s="1822"/>
      <c r="BC18" s="1822"/>
      <c r="BD18" s="1822"/>
      <c r="BE18" s="1822"/>
      <c r="BF18" s="1822"/>
      <c r="BG18" s="1635"/>
    </row>
    <row customHeight="1" ht="0.75">
      <c r="A19" s="1166" t="s">
        <v>1042</v>
      </c>
      <c r="B19" s="1166"/>
      <c r="C19" s="1166"/>
      <c r="D19" s="1160"/>
      <c r="E19" s="1170"/>
      <c r="F19" s="2555"/>
      <c r="G19" s="2534"/>
      <c r="H19" s="2559"/>
      <c r="I19" s="2560"/>
      <c r="J19" s="2561"/>
      <c r="K19" s="2561"/>
      <c r="L19" s="2553"/>
      <c r="M19" s="2287"/>
      <c r="N19" s="2035"/>
      <c r="O19" s="2035"/>
      <c r="P19" s="2042"/>
      <c r="Q19" s="2035"/>
      <c r="R19" s="2035"/>
      <c r="S19" s="2035"/>
      <c r="T19" s="2035"/>
      <c r="U19" s="2035"/>
      <c r="V19" s="2035"/>
      <c r="W19" s="2035"/>
      <c r="X19" s="2035"/>
      <c r="Y19" s="2035"/>
      <c r="Z19" s="2035"/>
      <c r="AA19" s="2035"/>
      <c r="AB19" s="2035"/>
      <c r="AC19" s="2035"/>
      <c r="AD19" s="2035"/>
      <c r="AE19" s="2044"/>
      <c r="AF19" s="2557"/>
      <c r="AG19" s="2553"/>
      <c r="AH19" s="2553"/>
      <c r="AI19" s="2557"/>
      <c r="AJ19" s="2553"/>
      <c r="AK19" s="2553"/>
      <c r="AL19" s="1985"/>
      <c r="AM19" s="1822"/>
      <c r="AN19" s="1822"/>
      <c r="AO19" s="1822"/>
      <c r="AP19" s="1822"/>
      <c r="AQ19" s="1822"/>
      <c r="AR19" s="1822"/>
      <c r="AS19" s="1822"/>
      <c r="AT19" s="1822"/>
      <c r="AU19" s="1822"/>
      <c r="AV19" s="1822"/>
      <c r="AW19" s="1822"/>
      <c r="AX19" s="1822"/>
      <c r="AY19" s="1822"/>
      <c r="AZ19" s="1822"/>
      <c r="BA19" s="1822"/>
      <c r="BB19" s="1822"/>
      <c r="BC19" s="1822"/>
      <c r="BD19" s="1822"/>
      <c r="BE19" s="1822"/>
      <c r="BF19" s="1822"/>
      <c r="BG19" s="1635"/>
    </row>
    <row customHeight="1" ht="11.25">
      <c r="A20" s="1166" t="s">
        <v>1042</v>
      </c>
      <c r="B20" s="1166"/>
      <c r="C20" s="1166"/>
      <c r="D20" s="1160"/>
      <c r="E20" s="1170"/>
      <c r="F20" s="1828"/>
      <c r="G20" s="683" t="s">
        <v>121</v>
      </c>
      <c r="H20" s="2534" t="s">
        <v>110</v>
      </c>
      <c r="I20" s="2535"/>
      <c r="J20" s="2504"/>
      <c r="K20" s="2536" t="s">
        <v>1074</v>
      </c>
      <c r="L20" s="2126" t="s">
        <v>19</v>
      </c>
      <c r="M20" s="2127"/>
      <c r="N20" s="1983"/>
      <c r="O20" s="1177" t="s">
        <v>381</v>
      </c>
      <c r="P20" s="1178"/>
      <c r="Q20" s="1178"/>
      <c r="R20" s="1178"/>
      <c r="S20" s="1178"/>
      <c r="T20" s="1178"/>
      <c r="U20" s="1178"/>
      <c r="V20" s="1178"/>
      <c r="W20" s="1178"/>
      <c r="X20" s="1178"/>
      <c r="Y20" s="1178"/>
      <c r="Z20" s="1178"/>
      <c r="AA20" s="1178"/>
      <c r="AB20" s="1178"/>
      <c r="AC20" s="1178"/>
      <c r="AD20" s="1178"/>
      <c r="AE20" s="1178"/>
      <c r="AF20" s="2525">
        <v>2024</v>
      </c>
      <c r="AG20" s="2526" t="s">
        <v>1075</v>
      </c>
      <c r="AH20" s="2526" t="s">
        <v>1076</v>
      </c>
      <c r="AI20" s="2525">
        <v>2024</v>
      </c>
      <c r="AJ20" s="2526" t="s">
        <v>1075</v>
      </c>
      <c r="AK20" s="2526" t="s">
        <v>1076</v>
      </c>
      <c r="AL20" s="1985"/>
      <c r="AM20" s="1822"/>
      <c r="AN20" s="1822"/>
      <c r="AO20" s="1822"/>
      <c r="AP20" s="1822"/>
      <c r="AQ20" s="1822"/>
      <c r="AR20" s="1822"/>
      <c r="AS20" s="1822"/>
      <c r="AT20" s="1822"/>
      <c r="AU20" s="1822"/>
      <c r="AV20" s="1822"/>
      <c r="AW20" s="1822"/>
      <c r="AX20" s="1822"/>
      <c r="AY20" s="1822"/>
      <c r="AZ20" s="1822"/>
      <c r="BA20" s="1822"/>
      <c r="BB20" s="1822"/>
      <c r="BC20" s="1822"/>
      <c r="BD20" s="1822"/>
      <c r="BE20" s="1822"/>
      <c r="BF20" s="1822"/>
      <c r="BG20" s="1635"/>
    </row>
    <row customHeight="1" ht="11.25">
      <c r="A21" s="1166" t="s">
        <v>1042</v>
      </c>
      <c r="B21" s="1166"/>
      <c r="C21" s="1166"/>
      <c r="D21" s="1160"/>
      <c r="E21" s="1170"/>
      <c r="F21" s="1828"/>
      <c r="G21" s="1829"/>
      <c r="H21" s="2534" t="s">
        <v>381</v>
      </c>
      <c r="I21" s="2535"/>
      <c r="J21" s="2504"/>
      <c r="K21" s="2536"/>
      <c r="L21" s="2126"/>
      <c r="M21" s="2127"/>
      <c r="N21" s="2527"/>
      <c r="O21" s="2528">
        <v>1</v>
      </c>
      <c r="P21" s="2529" t="s">
        <v>66</v>
      </c>
      <c r="Q21" s="2694" t="s">
        <v>1077</v>
      </c>
      <c r="R21" s="2695" t="s">
        <v>1078</v>
      </c>
      <c r="S21" s="2695" t="s">
        <v>101</v>
      </c>
      <c r="T21" s="2695" t="s">
        <v>101</v>
      </c>
      <c r="U21" s="2695" t="s">
        <v>102</v>
      </c>
      <c r="V21" s="2695" t="s">
        <v>1079</v>
      </c>
      <c r="W21" s="2695" t="s">
        <v>1080</v>
      </c>
      <c r="X21" s="2695" t="s">
        <v>1081</v>
      </c>
      <c r="Y21" s="2695" t="s">
        <v>1082</v>
      </c>
      <c r="Z21" s="1175"/>
      <c r="AA21" s="1176"/>
      <c r="AB21" s="1176"/>
      <c r="AC21" s="1180"/>
      <c r="AD21" s="1180"/>
      <c r="AE21" s="1181"/>
      <c r="AF21" s="2525"/>
      <c r="AG21" s="2526"/>
      <c r="AH21" s="2526"/>
      <c r="AI21" s="2525"/>
      <c r="AJ21" s="2526"/>
      <c r="AK21" s="2526"/>
      <c r="AL21" s="1985"/>
      <c r="AM21" s="1822"/>
      <c r="AN21" s="1822"/>
      <c r="AO21" s="1822"/>
      <c r="AP21" s="1822"/>
      <c r="AQ21" s="1822"/>
      <c r="AR21" s="1822"/>
      <c r="AS21" s="1822"/>
      <c r="AT21" s="1822"/>
      <c r="AU21" s="1822"/>
      <c r="AV21" s="1822"/>
      <c r="AW21" s="1822"/>
      <c r="AX21" s="1822"/>
      <c r="AY21" s="1822"/>
      <c r="AZ21" s="1822"/>
      <c r="BA21" s="1822"/>
      <c r="BB21" s="1822"/>
      <c r="BC21" s="1822"/>
      <c r="BD21" s="1822"/>
      <c r="BE21" s="1822"/>
      <c r="BF21" s="1822"/>
      <c r="BG21" s="1635"/>
    </row>
    <row customHeight="1" ht="31.14582061767578">
      <c r="A22" s="1166" t="s">
        <v>1042</v>
      </c>
      <c r="B22" s="1166"/>
      <c r="C22" s="1166"/>
      <c r="D22" s="1160"/>
      <c r="E22" s="1170"/>
      <c r="F22" s="1828"/>
      <c r="G22" s="1829"/>
      <c r="H22" s="2534" t="s">
        <v>381</v>
      </c>
      <c r="I22" s="2535"/>
      <c r="J22" s="2504"/>
      <c r="K22" s="2536"/>
      <c r="L22" s="2126"/>
      <c r="M22" s="2127"/>
      <c r="N22" s="2527"/>
      <c r="O22" s="2528"/>
      <c r="P22" s="2530"/>
      <c r="Q22" s="2694"/>
      <c r="R22" s="2532"/>
      <c r="S22" s="2533"/>
      <c r="T22" s="2532"/>
      <c r="U22" s="2532"/>
      <c r="V22" s="2532"/>
      <c r="W22" s="2532"/>
      <c r="X22" s="2532"/>
      <c r="Y22" s="2532"/>
      <c r="Z22" s="1827"/>
      <c r="AA22" s="1793">
        <v>1</v>
      </c>
      <c r="AB22" s="1179" t="s">
        <v>1083</v>
      </c>
      <c r="AC22" s="1169">
        <v>4997.43</v>
      </c>
      <c r="AD22" s="1179" t="str">
        <f>AB22</f>
        <v>      Амортизационные отчисления с выделением результатов переоценки основных средств и нематериальных активов</v>
      </c>
      <c r="AE22" s="1169">
        <v>4554.17</v>
      </c>
      <c r="AF22" s="2525"/>
      <c r="AG22" s="2526"/>
      <c r="AH22" s="2526"/>
      <c r="AI22" s="2525"/>
      <c r="AJ22" s="2526"/>
      <c r="AK22" s="2526"/>
      <c r="AL22" s="1985"/>
      <c r="AM22" s="1822"/>
      <c r="AN22" s="1822"/>
      <c r="AO22" s="1822"/>
      <c r="AP22" s="1822"/>
      <c r="AQ22" s="1822"/>
      <c r="AR22" s="1822"/>
      <c r="AS22" s="1822"/>
      <c r="AT22" s="1822"/>
      <c r="AU22" s="1822"/>
      <c r="AV22" s="1822"/>
      <c r="AW22" s="1822"/>
      <c r="AX22" s="1822"/>
      <c r="AY22" s="1822"/>
      <c r="AZ22" s="1822"/>
      <c r="BA22" s="1822"/>
      <c r="BB22" s="1822"/>
      <c r="BC22" s="1822"/>
      <c r="BD22" s="1822"/>
      <c r="BE22" s="1822"/>
      <c r="BF22" s="1822"/>
      <c r="BG22" s="1635"/>
    </row>
    <row customHeight="1" ht="11.25">
      <c r="A23" s="1166" t="s">
        <v>1042</v>
      </c>
      <c r="B23" s="1166"/>
      <c r="C23" s="1166"/>
      <c r="D23" s="1160"/>
      <c r="E23" s="1170"/>
      <c r="F23" s="1828"/>
      <c r="G23" s="1829"/>
      <c r="H23" s="2534" t="s">
        <v>381</v>
      </c>
      <c r="I23" s="2535"/>
      <c r="J23" s="2504"/>
      <c r="K23" s="2536"/>
      <c r="L23" s="2126"/>
      <c r="M23" s="2127"/>
      <c r="N23" s="2527"/>
      <c r="O23" s="2528"/>
      <c r="P23" s="2531"/>
      <c r="Q23" s="2694"/>
      <c r="R23" s="2532"/>
      <c r="S23" s="2533"/>
      <c r="T23" s="2532"/>
      <c r="U23" s="2532"/>
      <c r="V23" s="2532"/>
      <c r="W23" s="2532"/>
      <c r="X23" s="2532"/>
      <c r="Y23" s="2532"/>
      <c r="Z23" s="1175"/>
      <c r="AA23" s="1176"/>
      <c r="AB23" s="1241" t="s">
        <v>1084</v>
      </c>
      <c r="AC23" s="1180"/>
      <c r="AD23" s="1180"/>
      <c r="AE23" s="1182"/>
      <c r="AF23" s="2525"/>
      <c r="AG23" s="2526"/>
      <c r="AH23" s="2526"/>
      <c r="AI23" s="2525"/>
      <c r="AJ23" s="2526"/>
      <c r="AK23" s="2526"/>
      <c r="AL23" s="1985"/>
      <c r="AM23" s="1822"/>
      <c r="AN23" s="1822"/>
      <c r="AO23" s="1822"/>
      <c r="AP23" s="1822"/>
      <c r="AQ23" s="1822"/>
      <c r="AR23" s="1822"/>
      <c r="AS23" s="1822"/>
      <c r="AT23" s="1822"/>
      <c r="AU23" s="1822"/>
      <c r="AV23" s="1822"/>
      <c r="AW23" s="1822"/>
      <c r="AX23" s="1822"/>
      <c r="AY23" s="1822"/>
      <c r="AZ23" s="1822"/>
      <c r="BA23" s="1822"/>
      <c r="BB23" s="1822"/>
      <c r="BC23" s="1822"/>
      <c r="BD23" s="1822"/>
      <c r="BE23" s="1822"/>
      <c r="BF23" s="1822"/>
      <c r="BG23" s="1635"/>
    </row>
    <row customHeight="1" ht="11.25">
      <c r="A24" s="1166" t="s">
        <v>1042</v>
      </c>
      <c r="B24" s="1166"/>
      <c r="C24" s="1166"/>
      <c r="D24" s="1160"/>
      <c r="E24" s="1170"/>
      <c r="F24" s="1828"/>
      <c r="G24" s="1829"/>
      <c r="H24" s="2534" t="s">
        <v>381</v>
      </c>
      <c r="I24" s="2535"/>
      <c r="J24" s="2504"/>
      <c r="K24" s="2536"/>
      <c r="L24" s="2126"/>
      <c r="M24" s="2127"/>
      <c r="N24" s="1175"/>
      <c r="O24" s="1176"/>
      <c r="P24" s="1168" t="s">
        <v>1085</v>
      </c>
      <c r="Q24" s="1176"/>
      <c r="R24" s="1176"/>
      <c r="S24" s="1176"/>
      <c r="T24" s="1176"/>
      <c r="U24" s="1176"/>
      <c r="V24" s="1176"/>
      <c r="W24" s="1176"/>
      <c r="X24" s="1176"/>
      <c r="Y24" s="1176"/>
      <c r="Z24" s="1176"/>
      <c r="AA24" s="1176"/>
      <c r="AB24" s="1176"/>
      <c r="AC24" s="1176"/>
      <c r="AD24" s="1176"/>
      <c r="AE24" s="1183"/>
      <c r="AF24" s="2525"/>
      <c r="AG24" s="2526"/>
      <c r="AH24" s="2526"/>
      <c r="AI24" s="2525"/>
      <c r="AJ24" s="2526"/>
      <c r="AK24" s="2526"/>
      <c r="AL24" s="1985"/>
      <c r="AM24" s="1822"/>
      <c r="AN24" s="1822"/>
      <c r="AO24" s="1822"/>
      <c r="AP24" s="1822"/>
      <c r="AQ24" s="1822"/>
      <c r="AR24" s="1822"/>
      <c r="AS24" s="1822"/>
      <c r="AT24" s="1822"/>
      <c r="AU24" s="1822"/>
      <c r="AV24" s="1822"/>
      <c r="AW24" s="1822"/>
      <c r="AX24" s="1822"/>
      <c r="AY24" s="1822"/>
      <c r="AZ24" s="1822"/>
      <c r="BA24" s="1822"/>
      <c r="BB24" s="1822"/>
      <c r="BC24" s="1822"/>
      <c r="BD24" s="1822"/>
      <c r="BE24" s="1822"/>
      <c r="BF24" s="1822"/>
      <c r="BG24" s="1635"/>
    </row>
    <row customHeight="1" ht="11.25">
      <c r="A25" s="1166" t="s">
        <v>1042</v>
      </c>
      <c r="B25" s="1166"/>
      <c r="C25" s="1166"/>
      <c r="D25" s="1160"/>
      <c r="E25" s="1170"/>
      <c r="F25" s="1828"/>
      <c r="G25" s="683" t="s">
        <v>121</v>
      </c>
      <c r="H25" s="2534" t="s">
        <v>111</v>
      </c>
      <c r="I25" s="2535"/>
      <c r="J25" s="2504"/>
      <c r="K25" s="2536" t="s">
        <v>1086</v>
      </c>
      <c r="L25" s="2126" t="s">
        <v>19</v>
      </c>
      <c r="M25" s="2127"/>
      <c r="N25" s="1983"/>
      <c r="O25" s="1177" t="s">
        <v>381</v>
      </c>
      <c r="P25" s="1178"/>
      <c r="Q25" s="1178"/>
      <c r="R25" s="1178"/>
      <c r="S25" s="1178"/>
      <c r="T25" s="1178"/>
      <c r="U25" s="1178"/>
      <c r="V25" s="1178"/>
      <c r="W25" s="1178"/>
      <c r="X25" s="1178"/>
      <c r="Y25" s="1178"/>
      <c r="Z25" s="1178"/>
      <c r="AA25" s="1178"/>
      <c r="AB25" s="1178"/>
      <c r="AC25" s="1178"/>
      <c r="AD25" s="1178"/>
      <c r="AE25" s="1178"/>
      <c r="AF25" s="2525">
        <v>2024</v>
      </c>
      <c r="AG25" s="2526" t="s">
        <v>1075</v>
      </c>
      <c r="AH25" s="2526" t="s">
        <v>1076</v>
      </c>
      <c r="AI25" s="2525">
        <v>2024</v>
      </c>
      <c r="AJ25" s="2526" t="s">
        <v>1075</v>
      </c>
      <c r="AK25" s="2526" t="s">
        <v>1076</v>
      </c>
      <c r="AL25" s="1985"/>
      <c r="AM25" s="1822"/>
      <c r="AN25" s="1822"/>
      <c r="AO25" s="1822"/>
      <c r="AP25" s="1822"/>
      <c r="AQ25" s="1822"/>
      <c r="AR25" s="1822"/>
      <c r="AS25" s="1822"/>
      <c r="AT25" s="1822"/>
      <c r="AU25" s="1822"/>
      <c r="AV25" s="1822"/>
      <c r="AW25" s="1822"/>
      <c r="AX25" s="1822"/>
      <c r="AY25" s="1822"/>
      <c r="AZ25" s="1822"/>
      <c r="BA25" s="1822"/>
      <c r="BB25" s="1822"/>
      <c r="BC25" s="1822"/>
      <c r="BD25" s="1822"/>
      <c r="BE25" s="1822"/>
      <c r="BF25" s="1822"/>
      <c r="BG25" s="1635"/>
    </row>
    <row customHeight="1" ht="11.25">
      <c r="A26" s="1166" t="s">
        <v>1042</v>
      </c>
      <c r="B26" s="1166"/>
      <c r="C26" s="1166"/>
      <c r="D26" s="1160"/>
      <c r="E26" s="1170"/>
      <c r="F26" s="1828"/>
      <c r="G26" s="1829"/>
      <c r="H26" s="2534" t="s">
        <v>110</v>
      </c>
      <c r="I26" s="2535"/>
      <c r="J26" s="2504"/>
      <c r="K26" s="2536"/>
      <c r="L26" s="2126"/>
      <c r="M26" s="2127"/>
      <c r="N26" s="2527"/>
      <c r="O26" s="2528">
        <v>1</v>
      </c>
      <c r="P26" s="2529" t="s">
        <v>66</v>
      </c>
      <c r="Q26" s="2694" t="s">
        <v>1077</v>
      </c>
      <c r="R26" s="2695" t="s">
        <v>1078</v>
      </c>
      <c r="S26" s="2695" t="s">
        <v>101</v>
      </c>
      <c r="T26" s="2695" t="s">
        <v>101</v>
      </c>
      <c r="U26" s="2695" t="s">
        <v>102</v>
      </c>
      <c r="V26" s="2695" t="s">
        <v>1079</v>
      </c>
      <c r="W26" s="2695" t="s">
        <v>1080</v>
      </c>
      <c r="X26" s="2695" t="s">
        <v>1081</v>
      </c>
      <c r="Y26" s="2695" t="s">
        <v>1082</v>
      </c>
      <c r="Z26" s="1175"/>
      <c r="AA26" s="1176"/>
      <c r="AB26" s="1176"/>
      <c r="AC26" s="1180"/>
      <c r="AD26" s="1180"/>
      <c r="AE26" s="1181"/>
      <c r="AF26" s="2525"/>
      <c r="AG26" s="2526"/>
      <c r="AH26" s="2526"/>
      <c r="AI26" s="2525"/>
      <c r="AJ26" s="2526"/>
      <c r="AK26" s="2526"/>
      <c r="AL26" s="1985"/>
      <c r="AM26" s="1822"/>
      <c r="AN26" s="1822"/>
      <c r="AO26" s="1822"/>
      <c r="AP26" s="1822"/>
      <c r="AQ26" s="1822"/>
      <c r="AR26" s="1822"/>
      <c r="AS26" s="1822"/>
      <c r="AT26" s="1822"/>
      <c r="AU26" s="1822"/>
      <c r="AV26" s="1822"/>
      <c r="AW26" s="1822"/>
      <c r="AX26" s="1822"/>
      <c r="AY26" s="1822"/>
      <c r="AZ26" s="1822"/>
      <c r="BA26" s="1822"/>
      <c r="BB26" s="1822"/>
      <c r="BC26" s="1822"/>
      <c r="BD26" s="1822"/>
      <c r="BE26" s="1822"/>
      <c r="BF26" s="1822"/>
      <c r="BG26" s="1635"/>
    </row>
    <row customHeight="1" ht="34.47915395100912">
      <c r="A27" s="1166" t="s">
        <v>1042</v>
      </c>
      <c r="B27" s="1166"/>
      <c r="C27" s="1166"/>
      <c r="D27" s="1160"/>
      <c r="E27" s="1170"/>
      <c r="F27" s="1828"/>
      <c r="G27" s="1829"/>
      <c r="H27" s="2534" t="s">
        <v>110</v>
      </c>
      <c r="I27" s="2535"/>
      <c r="J27" s="2504"/>
      <c r="K27" s="2536"/>
      <c r="L27" s="2126"/>
      <c r="M27" s="2127"/>
      <c r="N27" s="2527"/>
      <c r="O27" s="2528"/>
      <c r="P27" s="2530"/>
      <c r="Q27" s="2694"/>
      <c r="R27" s="2532"/>
      <c r="S27" s="2533"/>
      <c r="T27" s="2532"/>
      <c r="U27" s="2532"/>
      <c r="V27" s="2532"/>
      <c r="W27" s="2532"/>
      <c r="X27" s="2532"/>
      <c r="Y27" s="2532"/>
      <c r="Z27" s="1827"/>
      <c r="AA27" s="1793">
        <v>1</v>
      </c>
      <c r="AB27" s="1179" t="s">
        <v>1083</v>
      </c>
      <c r="AC27" s="1169">
        <v>7034.82</v>
      </c>
      <c r="AD27" s="1179" t="str">
        <f>AB27</f>
        <v>      Амортизационные отчисления с выделением результатов переоценки основных средств и нематериальных активов</v>
      </c>
      <c r="AE27" s="1169">
        <v>4085.48</v>
      </c>
      <c r="AF27" s="2525"/>
      <c r="AG27" s="2526"/>
      <c r="AH27" s="2526"/>
      <c r="AI27" s="2525"/>
      <c r="AJ27" s="2526"/>
      <c r="AK27" s="2526"/>
      <c r="AL27" s="1985"/>
      <c r="AM27" s="1822"/>
      <c r="AN27" s="1822"/>
      <c r="AO27" s="1822"/>
      <c r="AP27" s="1822"/>
      <c r="AQ27" s="1822"/>
      <c r="AR27" s="1822"/>
      <c r="AS27" s="1822"/>
      <c r="AT27" s="1822"/>
      <c r="AU27" s="1822"/>
      <c r="AV27" s="1822"/>
      <c r="AW27" s="1822"/>
      <c r="AX27" s="1822"/>
      <c r="AY27" s="1822"/>
      <c r="AZ27" s="1822"/>
      <c r="BA27" s="1822"/>
      <c r="BB27" s="1822"/>
      <c r="BC27" s="1822"/>
      <c r="BD27" s="1822"/>
      <c r="BE27" s="1822"/>
      <c r="BF27" s="1822"/>
      <c r="BG27" s="1635"/>
    </row>
    <row customHeight="1" ht="11.25">
      <c r="A28" s="1166" t="s">
        <v>1042</v>
      </c>
      <c r="B28" s="1166"/>
      <c r="C28" s="1166"/>
      <c r="D28" s="1160"/>
      <c r="E28" s="1170"/>
      <c r="F28" s="1828"/>
      <c r="G28" s="1829"/>
      <c r="H28" s="2534" t="s">
        <v>110</v>
      </c>
      <c r="I28" s="2535"/>
      <c r="J28" s="2504"/>
      <c r="K28" s="2536"/>
      <c r="L28" s="2126"/>
      <c r="M28" s="2127"/>
      <c r="N28" s="2527"/>
      <c r="O28" s="2528"/>
      <c r="P28" s="2531"/>
      <c r="Q28" s="2694"/>
      <c r="R28" s="2532"/>
      <c r="S28" s="2533"/>
      <c r="T28" s="2532"/>
      <c r="U28" s="2532"/>
      <c r="V28" s="2532"/>
      <c r="W28" s="2532"/>
      <c r="X28" s="2532"/>
      <c r="Y28" s="2532"/>
      <c r="Z28" s="1175"/>
      <c r="AA28" s="1176"/>
      <c r="AB28" s="1241" t="s">
        <v>1084</v>
      </c>
      <c r="AC28" s="1180"/>
      <c r="AD28" s="1180"/>
      <c r="AE28" s="1182"/>
      <c r="AF28" s="2525"/>
      <c r="AG28" s="2526"/>
      <c r="AH28" s="2526"/>
      <c r="AI28" s="2525"/>
      <c r="AJ28" s="2526"/>
      <c r="AK28" s="2526"/>
      <c r="AL28" s="1985"/>
      <c r="AM28" s="1822"/>
      <c r="AN28" s="1822"/>
      <c r="AO28" s="1822"/>
      <c r="AP28" s="1822"/>
      <c r="AQ28" s="1822"/>
      <c r="AR28" s="1822"/>
      <c r="AS28" s="1822"/>
      <c r="AT28" s="1822"/>
      <c r="AU28" s="1822"/>
      <c r="AV28" s="1822"/>
      <c r="AW28" s="1822"/>
      <c r="AX28" s="1822"/>
      <c r="AY28" s="1822"/>
      <c r="AZ28" s="1822"/>
      <c r="BA28" s="1822"/>
      <c r="BB28" s="1822"/>
      <c r="BC28" s="1822"/>
      <c r="BD28" s="1822"/>
      <c r="BE28" s="1822"/>
      <c r="BF28" s="1822"/>
      <c r="BG28" s="1635"/>
    </row>
    <row customHeight="1" ht="11.25">
      <c r="A29" s="1166" t="s">
        <v>1042</v>
      </c>
      <c r="B29" s="1166"/>
      <c r="C29" s="1166"/>
      <c r="D29" s="1160"/>
      <c r="E29" s="1170"/>
      <c r="F29" s="1828"/>
      <c r="G29" s="1829"/>
      <c r="H29" s="2534" t="s">
        <v>110</v>
      </c>
      <c r="I29" s="2535"/>
      <c r="J29" s="2504"/>
      <c r="K29" s="2536"/>
      <c r="L29" s="2126"/>
      <c r="M29" s="2127"/>
      <c r="N29" s="1175"/>
      <c r="O29" s="1176"/>
      <c r="P29" s="1168" t="s">
        <v>1085</v>
      </c>
      <c r="Q29" s="1176"/>
      <c r="R29" s="1176"/>
      <c r="S29" s="1176"/>
      <c r="T29" s="1176"/>
      <c r="U29" s="1176"/>
      <c r="V29" s="1176"/>
      <c r="W29" s="1176"/>
      <c r="X29" s="1176"/>
      <c r="Y29" s="1176"/>
      <c r="Z29" s="1176"/>
      <c r="AA29" s="1176"/>
      <c r="AB29" s="1176"/>
      <c r="AC29" s="1176"/>
      <c r="AD29" s="1176"/>
      <c r="AE29" s="1183"/>
      <c r="AF29" s="2525"/>
      <c r="AG29" s="2526"/>
      <c r="AH29" s="2526"/>
      <c r="AI29" s="2525"/>
      <c r="AJ29" s="2526"/>
      <c r="AK29" s="2526"/>
      <c r="AL29" s="1985"/>
      <c r="AM29" s="1822"/>
      <c r="AN29" s="1822"/>
      <c r="AO29" s="1822"/>
      <c r="AP29" s="1822"/>
      <c r="AQ29" s="1822"/>
      <c r="AR29" s="1822"/>
      <c r="AS29" s="1822"/>
      <c r="AT29" s="1822"/>
      <c r="AU29" s="1822"/>
      <c r="AV29" s="1822"/>
      <c r="AW29" s="1822"/>
      <c r="AX29" s="1822"/>
      <c r="AY29" s="1822"/>
      <c r="AZ29" s="1822"/>
      <c r="BA29" s="1822"/>
      <c r="BB29" s="1822"/>
      <c r="BC29" s="1822"/>
      <c r="BD29" s="1822"/>
      <c r="BE29" s="1822"/>
      <c r="BF29" s="1822"/>
      <c r="BG29" s="1635"/>
    </row>
    <row customHeight="1" ht="11.25">
      <c r="A30" s="1166" t="s">
        <v>1042</v>
      </c>
      <c r="B30" s="1166"/>
      <c r="C30" s="1166"/>
      <c r="D30" s="1160"/>
      <c r="E30" s="1170"/>
      <c r="F30" s="1828"/>
      <c r="G30" s="683" t="s">
        <v>121</v>
      </c>
      <c r="H30" s="2534" t="s">
        <v>91</v>
      </c>
      <c r="I30" s="2535"/>
      <c r="J30" s="2504"/>
      <c r="K30" s="2536" t="s">
        <v>1087</v>
      </c>
      <c r="L30" s="2126" t="s">
        <v>19</v>
      </c>
      <c r="M30" s="2127"/>
      <c r="N30" s="1983"/>
      <c r="O30" s="1177" t="s">
        <v>381</v>
      </c>
      <c r="P30" s="1178"/>
      <c r="Q30" s="1178"/>
      <c r="R30" s="1178"/>
      <c r="S30" s="1178"/>
      <c r="T30" s="1178"/>
      <c r="U30" s="1178"/>
      <c r="V30" s="1178"/>
      <c r="W30" s="1178"/>
      <c r="X30" s="1178"/>
      <c r="Y30" s="1178"/>
      <c r="Z30" s="1178"/>
      <c r="AA30" s="1178"/>
      <c r="AB30" s="1178"/>
      <c r="AC30" s="1178"/>
      <c r="AD30" s="1178"/>
      <c r="AE30" s="1178"/>
      <c r="AF30" s="2525">
        <v>2024</v>
      </c>
      <c r="AG30" s="2526" t="s">
        <v>1075</v>
      </c>
      <c r="AH30" s="2526" t="s">
        <v>1076</v>
      </c>
      <c r="AI30" s="2525">
        <v>2024</v>
      </c>
      <c r="AJ30" s="2526" t="s">
        <v>1075</v>
      </c>
      <c r="AK30" s="2526" t="s">
        <v>1076</v>
      </c>
      <c r="AL30" s="1985"/>
      <c r="AM30" s="1822"/>
      <c r="AN30" s="1822"/>
      <c r="AO30" s="1822"/>
      <c r="AP30" s="1822"/>
      <c r="AQ30" s="1822"/>
      <c r="AR30" s="1822"/>
      <c r="AS30" s="1822"/>
      <c r="AT30" s="1822"/>
      <c r="AU30" s="1822"/>
      <c r="AV30" s="1822"/>
      <c r="AW30" s="1822"/>
      <c r="AX30" s="1822"/>
      <c r="AY30" s="1822"/>
      <c r="AZ30" s="1822"/>
      <c r="BA30" s="1822"/>
      <c r="BB30" s="1822"/>
      <c r="BC30" s="1822"/>
      <c r="BD30" s="1822"/>
      <c r="BE30" s="1822"/>
      <c r="BF30" s="1822"/>
      <c r="BG30" s="1635"/>
    </row>
    <row customHeight="1" ht="11.25">
      <c r="A31" s="1166" t="s">
        <v>1042</v>
      </c>
      <c r="B31" s="1166"/>
      <c r="C31" s="1166"/>
      <c r="D31" s="1160"/>
      <c r="E31" s="1170"/>
      <c r="F31" s="1828"/>
      <c r="G31" s="1829"/>
      <c r="H31" s="2534" t="s">
        <v>111</v>
      </c>
      <c r="I31" s="2535"/>
      <c r="J31" s="2504"/>
      <c r="K31" s="2536"/>
      <c r="L31" s="2126"/>
      <c r="M31" s="2127"/>
      <c r="N31" s="2527"/>
      <c r="O31" s="2528">
        <v>1</v>
      </c>
      <c r="P31" s="2529" t="s">
        <v>66</v>
      </c>
      <c r="Q31" s="2694" t="s">
        <v>1077</v>
      </c>
      <c r="R31" s="2695" t="s">
        <v>1078</v>
      </c>
      <c r="S31" s="2695" t="s">
        <v>101</v>
      </c>
      <c r="T31" s="2695" t="s">
        <v>101</v>
      </c>
      <c r="U31" s="2695" t="s">
        <v>102</v>
      </c>
      <c r="V31" s="2695" t="s">
        <v>1079</v>
      </c>
      <c r="W31" s="2695" t="s">
        <v>1080</v>
      </c>
      <c r="X31" s="2695" t="s">
        <v>1081</v>
      </c>
      <c r="Y31" s="2695" t="s">
        <v>1082</v>
      </c>
      <c r="Z31" s="1175"/>
      <c r="AA31" s="1176"/>
      <c r="AB31" s="1176"/>
      <c r="AC31" s="1180"/>
      <c r="AD31" s="1180"/>
      <c r="AE31" s="1181"/>
      <c r="AF31" s="2525"/>
      <c r="AG31" s="2526"/>
      <c r="AH31" s="2526"/>
      <c r="AI31" s="2525"/>
      <c r="AJ31" s="2526"/>
      <c r="AK31" s="2526"/>
      <c r="AL31" s="1985"/>
      <c r="AM31" s="1822"/>
      <c r="AN31" s="1822"/>
      <c r="AO31" s="1822"/>
      <c r="AP31" s="1822"/>
      <c r="AQ31" s="1822"/>
      <c r="AR31" s="1822"/>
      <c r="AS31" s="1822"/>
      <c r="AT31" s="1822"/>
      <c r="AU31" s="1822"/>
      <c r="AV31" s="1822"/>
      <c r="AW31" s="1822"/>
      <c r="AX31" s="1822"/>
      <c r="AY31" s="1822"/>
      <c r="AZ31" s="1822"/>
      <c r="BA31" s="1822"/>
      <c r="BB31" s="1822"/>
      <c r="BC31" s="1822"/>
      <c r="BD31" s="1822"/>
      <c r="BE31" s="1822"/>
      <c r="BF31" s="1822"/>
      <c r="BG31" s="1635"/>
    </row>
    <row customHeight="1" ht="39.47915395100912">
      <c r="A32" s="1166" t="s">
        <v>1042</v>
      </c>
      <c r="B32" s="1166"/>
      <c r="C32" s="1166"/>
      <c r="D32" s="1160"/>
      <c r="E32" s="1170"/>
      <c r="F32" s="1828"/>
      <c r="G32" s="1829"/>
      <c r="H32" s="2534" t="s">
        <v>111</v>
      </c>
      <c r="I32" s="2535"/>
      <c r="J32" s="2504"/>
      <c r="K32" s="2536"/>
      <c r="L32" s="2126"/>
      <c r="M32" s="2127"/>
      <c r="N32" s="2527"/>
      <c r="O32" s="2528"/>
      <c r="P32" s="2530"/>
      <c r="Q32" s="2694"/>
      <c r="R32" s="2532"/>
      <c r="S32" s="2533"/>
      <c r="T32" s="2532"/>
      <c r="U32" s="2532"/>
      <c r="V32" s="2532"/>
      <c r="W32" s="2532"/>
      <c r="X32" s="2532"/>
      <c r="Y32" s="2532"/>
      <c r="Z32" s="1827"/>
      <c r="AA32" s="1793">
        <v>1</v>
      </c>
      <c r="AB32" s="1179" t="s">
        <v>1083</v>
      </c>
      <c r="AC32" s="1169">
        <v>12272.78</v>
      </c>
      <c r="AD32" s="1179" t="str">
        <f>AB32</f>
        <v>      Амортизационные отчисления с выделением результатов переоценки основных средств и нематериальных активов</v>
      </c>
      <c r="AE32" s="1169">
        <v>6767.09</v>
      </c>
      <c r="AF32" s="2525"/>
      <c r="AG32" s="2526"/>
      <c r="AH32" s="2526"/>
      <c r="AI32" s="2525"/>
      <c r="AJ32" s="2526"/>
      <c r="AK32" s="2526"/>
      <c r="AL32" s="1985"/>
      <c r="AM32" s="1822"/>
      <c r="AN32" s="1822"/>
      <c r="AO32" s="1822"/>
      <c r="AP32" s="1822"/>
      <c r="AQ32" s="1822"/>
      <c r="AR32" s="1822"/>
      <c r="AS32" s="1822"/>
      <c r="AT32" s="1822"/>
      <c r="AU32" s="1822"/>
      <c r="AV32" s="1822"/>
      <c r="AW32" s="1822"/>
      <c r="AX32" s="1822"/>
      <c r="AY32" s="1822"/>
      <c r="AZ32" s="1822"/>
      <c r="BA32" s="1822"/>
      <c r="BB32" s="1822"/>
      <c r="BC32" s="1822"/>
      <c r="BD32" s="1822"/>
      <c r="BE32" s="1822"/>
      <c r="BF32" s="1822"/>
      <c r="BG32" s="1635"/>
    </row>
    <row customHeight="1" ht="11.25">
      <c r="A33" s="1166" t="s">
        <v>1042</v>
      </c>
      <c r="B33" s="1166"/>
      <c r="C33" s="1166"/>
      <c r="D33" s="1160"/>
      <c r="E33" s="1170"/>
      <c r="F33" s="1828"/>
      <c r="G33" s="1829"/>
      <c r="H33" s="2534" t="s">
        <v>111</v>
      </c>
      <c r="I33" s="2535"/>
      <c r="J33" s="2504"/>
      <c r="K33" s="2536"/>
      <c r="L33" s="2126"/>
      <c r="M33" s="2127"/>
      <c r="N33" s="2527"/>
      <c r="O33" s="2528"/>
      <c r="P33" s="2531"/>
      <c r="Q33" s="2694"/>
      <c r="R33" s="2532"/>
      <c r="S33" s="2533"/>
      <c r="T33" s="2532"/>
      <c r="U33" s="2532"/>
      <c r="V33" s="2532"/>
      <c r="W33" s="2532"/>
      <c r="X33" s="2532"/>
      <c r="Y33" s="2532"/>
      <c r="Z33" s="1175"/>
      <c r="AA33" s="1176"/>
      <c r="AB33" s="1241" t="s">
        <v>1084</v>
      </c>
      <c r="AC33" s="1180"/>
      <c r="AD33" s="1180"/>
      <c r="AE33" s="1182"/>
      <c r="AF33" s="2525"/>
      <c r="AG33" s="2526"/>
      <c r="AH33" s="2526"/>
      <c r="AI33" s="2525"/>
      <c r="AJ33" s="2526"/>
      <c r="AK33" s="2526"/>
      <c r="AL33" s="1985"/>
      <c r="AM33" s="1822"/>
      <c r="AN33" s="1822"/>
      <c r="AO33" s="1822"/>
      <c r="AP33" s="1822"/>
      <c r="AQ33" s="1822"/>
      <c r="AR33" s="1822"/>
      <c r="AS33" s="1822"/>
      <c r="AT33" s="1822"/>
      <c r="AU33" s="1822"/>
      <c r="AV33" s="1822"/>
      <c r="AW33" s="1822"/>
      <c r="AX33" s="1822"/>
      <c r="AY33" s="1822"/>
      <c r="AZ33" s="1822"/>
      <c r="BA33" s="1822"/>
      <c r="BB33" s="1822"/>
      <c r="BC33" s="1822"/>
      <c r="BD33" s="1822"/>
      <c r="BE33" s="1822"/>
      <c r="BF33" s="1822"/>
      <c r="BG33" s="1635"/>
    </row>
    <row customHeight="1" ht="11.25">
      <c r="A34" s="1166" t="s">
        <v>1042</v>
      </c>
      <c r="B34" s="1166"/>
      <c r="C34" s="1166"/>
      <c r="D34" s="1160"/>
      <c r="E34" s="1170"/>
      <c r="F34" s="1828"/>
      <c r="G34" s="1829"/>
      <c r="H34" s="2534" t="s">
        <v>111</v>
      </c>
      <c r="I34" s="2535"/>
      <c r="J34" s="2504"/>
      <c r="K34" s="2536"/>
      <c r="L34" s="2126"/>
      <c r="M34" s="2127"/>
      <c r="N34" s="1175"/>
      <c r="O34" s="1176"/>
      <c r="P34" s="1168" t="s">
        <v>1085</v>
      </c>
      <c r="Q34" s="1176"/>
      <c r="R34" s="1176"/>
      <c r="S34" s="1176"/>
      <c r="T34" s="1176"/>
      <c r="U34" s="1176"/>
      <c r="V34" s="1176"/>
      <c r="W34" s="1176"/>
      <c r="X34" s="1176"/>
      <c r="Y34" s="1176"/>
      <c r="Z34" s="1176"/>
      <c r="AA34" s="1176"/>
      <c r="AB34" s="1176"/>
      <c r="AC34" s="1176"/>
      <c r="AD34" s="1176"/>
      <c r="AE34" s="1183"/>
      <c r="AF34" s="2525"/>
      <c r="AG34" s="2526"/>
      <c r="AH34" s="2526"/>
      <c r="AI34" s="2525"/>
      <c r="AJ34" s="2526"/>
      <c r="AK34" s="2526"/>
      <c r="AL34" s="1985"/>
      <c r="AM34" s="1822"/>
      <c r="AN34" s="1822"/>
      <c r="AO34" s="1822"/>
      <c r="AP34" s="1822"/>
      <c r="AQ34" s="1822"/>
      <c r="AR34" s="1822"/>
      <c r="AS34" s="1822"/>
      <c r="AT34" s="1822"/>
      <c r="AU34" s="1822"/>
      <c r="AV34" s="1822"/>
      <c r="AW34" s="1822"/>
      <c r="AX34" s="1822"/>
      <c r="AY34" s="1822"/>
      <c r="AZ34" s="1822"/>
      <c r="BA34" s="1822"/>
      <c r="BB34" s="1822"/>
      <c r="BC34" s="1822"/>
      <c r="BD34" s="1822"/>
      <c r="BE34" s="1822"/>
      <c r="BF34" s="1822"/>
      <c r="BG34" s="1635"/>
    </row>
    <row customHeight="1" ht="12">
      <c r="A35" s="1166" t="s">
        <v>1042</v>
      </c>
      <c r="B35" s="1166"/>
      <c r="C35" s="1166"/>
      <c r="D35" s="1160"/>
      <c r="E35" s="1170"/>
      <c r="F35" s="2556"/>
      <c r="G35" s="1190"/>
      <c r="H35" s="1190"/>
      <c r="I35" s="2554" t="s">
        <v>1088</v>
      </c>
      <c r="J35" s="2554"/>
      <c r="K35" s="2554"/>
      <c r="L35" s="1173"/>
      <c r="M35" s="1173"/>
      <c r="N35" s="1174"/>
      <c r="O35" s="1174"/>
      <c r="P35" s="1174"/>
      <c r="Q35" s="1174"/>
      <c r="R35" s="1174"/>
      <c r="S35" s="1174"/>
      <c r="T35" s="1174"/>
      <c r="U35" s="1174"/>
      <c r="V35" s="1174"/>
      <c r="W35" s="1174"/>
      <c r="X35" s="1174"/>
      <c r="Y35" s="1174"/>
      <c r="Z35" s="1174"/>
      <c r="AA35" s="1174"/>
      <c r="AB35" s="1174"/>
      <c r="AC35" s="1174"/>
      <c r="AD35" s="1174"/>
      <c r="AE35" s="1174"/>
      <c r="AF35" s="1174"/>
      <c r="AG35" s="1173"/>
      <c r="AH35" s="1173"/>
      <c r="AI35" s="1174"/>
      <c r="AJ35" s="1173"/>
      <c r="AK35" s="1174"/>
      <c r="AL35" s="1985"/>
      <c r="AM35" s="1822"/>
      <c r="AN35" s="1822"/>
      <c r="AO35" s="1822"/>
      <c r="AP35" s="1822"/>
      <c r="AQ35" s="1822"/>
      <c r="AR35" s="1822"/>
      <c r="AS35" s="1822"/>
      <c r="AT35" s="1822"/>
      <c r="AU35" s="1822"/>
      <c r="AV35" s="1822"/>
      <c r="AW35" s="1822"/>
      <c r="AX35" s="1822"/>
      <c r="AY35" s="1822"/>
      <c r="AZ35" s="1822"/>
      <c r="BA35" s="1822"/>
      <c r="BB35" s="1822"/>
      <c r="BC35" s="1822"/>
      <c r="BD35" s="1822"/>
      <c r="BE35" s="1822"/>
      <c r="BF35" s="1822"/>
      <c r="BG35" s="1635"/>
    </row>
    <row customHeight="1" ht="0.75">
      <c r="A36" s="1166" t="s">
        <v>1042</v>
      </c>
      <c r="B36" s="1166"/>
      <c r="C36" s="1166"/>
      <c r="D36" s="1160"/>
      <c r="E36" s="1170"/>
      <c r="F36" s="2555">
        <v>2025</v>
      </c>
      <c r="G36" s="2534"/>
      <c r="H36" s="2559" t="s">
        <v>381</v>
      </c>
      <c r="I36" s="2560"/>
      <c r="J36" s="2561"/>
      <c r="K36" s="2561"/>
      <c r="L36" s="2553"/>
      <c r="M36" s="2287"/>
      <c r="N36" s="2033"/>
      <c r="O36" s="2032"/>
      <c r="P36" s="2033"/>
      <c r="Q36" s="2033"/>
      <c r="R36" s="2033"/>
      <c r="S36" s="2033"/>
      <c r="T36" s="2033"/>
      <c r="U36" s="2033"/>
      <c r="V36" s="2033"/>
      <c r="W36" s="2033"/>
      <c r="X36" s="2033"/>
      <c r="Y36" s="2033"/>
      <c r="Z36" s="2033"/>
      <c r="AA36" s="2033"/>
      <c r="AB36" s="2033"/>
      <c r="AC36" s="2033"/>
      <c r="AD36" s="2033"/>
      <c r="AE36" s="2033"/>
      <c r="AF36" s="2557"/>
      <c r="AG36" s="2553"/>
      <c r="AH36" s="2553"/>
      <c r="AI36" s="2557"/>
      <c r="AJ36" s="2553"/>
      <c r="AK36" s="2553"/>
      <c r="AL36" s="1985"/>
      <c r="AM36" s="1822"/>
      <c r="AN36" s="1822"/>
      <c r="AO36" s="1822"/>
      <c r="AP36" s="1822"/>
      <c r="AQ36" s="1822"/>
      <c r="AR36" s="1822"/>
      <c r="AS36" s="1822"/>
      <c r="AT36" s="1822"/>
      <c r="AU36" s="1822"/>
      <c r="AV36" s="1822"/>
      <c r="AW36" s="1822"/>
      <c r="AX36" s="1822"/>
      <c r="AY36" s="1822"/>
      <c r="AZ36" s="1822"/>
      <c r="BA36" s="1822"/>
      <c r="BB36" s="1822"/>
      <c r="BC36" s="1822"/>
      <c r="BD36" s="1822"/>
      <c r="BE36" s="1822"/>
      <c r="BF36" s="1822"/>
      <c r="BG36" s="1635"/>
    </row>
    <row customHeight="1" ht="0.75">
      <c r="A37" s="1166" t="s">
        <v>1042</v>
      </c>
      <c r="B37" s="1166"/>
      <c r="C37" s="1166"/>
      <c r="D37" s="1160"/>
      <c r="E37" s="1170"/>
      <c r="F37" s="2555"/>
      <c r="G37" s="2534"/>
      <c r="H37" s="2559"/>
      <c r="I37" s="2560"/>
      <c r="J37" s="2561"/>
      <c r="K37" s="2561"/>
      <c r="L37" s="2553"/>
      <c r="M37" s="2287"/>
      <c r="N37" s="2562"/>
      <c r="O37" s="2563"/>
      <c r="P37" s="2607"/>
      <c r="Q37" s="2558"/>
      <c r="R37" s="2558"/>
      <c r="S37" s="2558"/>
      <c r="T37" s="2558"/>
      <c r="U37" s="2558"/>
      <c r="V37" s="2558"/>
      <c r="W37" s="2558"/>
      <c r="X37" s="2558"/>
      <c r="Y37" s="2558"/>
      <c r="Z37" s="2034"/>
      <c r="AA37" s="2035"/>
      <c r="AB37" s="2035"/>
      <c r="AC37" s="2036"/>
      <c r="AD37" s="2036"/>
      <c r="AE37" s="2037"/>
      <c r="AF37" s="2557"/>
      <c r="AG37" s="2553"/>
      <c r="AH37" s="2553"/>
      <c r="AI37" s="2557"/>
      <c r="AJ37" s="2553"/>
      <c r="AK37" s="2553"/>
      <c r="AL37" s="1985"/>
      <c r="AM37" s="1822"/>
      <c r="AN37" s="1822"/>
      <c r="AO37" s="1822"/>
      <c r="AP37" s="1822"/>
      <c r="AQ37" s="1822"/>
      <c r="AR37" s="1822"/>
      <c r="AS37" s="1822"/>
      <c r="AT37" s="1822"/>
      <c r="AU37" s="1822"/>
      <c r="AV37" s="1822"/>
      <c r="AW37" s="1822"/>
      <c r="AX37" s="1822"/>
      <c r="AY37" s="1822"/>
      <c r="AZ37" s="1822"/>
      <c r="BA37" s="1822"/>
      <c r="BB37" s="1822"/>
      <c r="BC37" s="1822"/>
      <c r="BD37" s="1822"/>
      <c r="BE37" s="1822"/>
      <c r="BF37" s="1822"/>
      <c r="BG37" s="1635"/>
    </row>
    <row customHeight="1" ht="0.75">
      <c r="A38" s="1166" t="s">
        <v>1042</v>
      </c>
      <c r="B38" s="1166"/>
      <c r="C38" s="1166"/>
      <c r="D38" s="1160"/>
      <c r="E38" s="1170"/>
      <c r="F38" s="2555"/>
      <c r="G38" s="2534"/>
      <c r="H38" s="2559"/>
      <c r="I38" s="2560"/>
      <c r="J38" s="2561"/>
      <c r="K38" s="2561"/>
      <c r="L38" s="2553"/>
      <c r="M38" s="2287"/>
      <c r="N38" s="2562"/>
      <c r="O38" s="2563"/>
      <c r="P38" s="2608"/>
      <c r="Q38" s="2558"/>
      <c r="R38" s="2558"/>
      <c r="S38" s="2558"/>
      <c r="T38" s="2558"/>
      <c r="U38" s="2558"/>
      <c r="V38" s="2558"/>
      <c r="W38" s="2558"/>
      <c r="X38" s="2558"/>
      <c r="Y38" s="2558"/>
      <c r="Z38" s="2038"/>
      <c r="AA38" s="2039"/>
      <c r="AB38" s="2040"/>
      <c r="AC38" s="2041"/>
      <c r="AD38" s="2040"/>
      <c r="AE38" s="2041"/>
      <c r="AF38" s="2557"/>
      <c r="AG38" s="2553"/>
      <c r="AH38" s="2553"/>
      <c r="AI38" s="2557"/>
      <c r="AJ38" s="2553"/>
      <c r="AK38" s="2553"/>
      <c r="AL38" s="1985"/>
      <c r="AM38" s="1822"/>
      <c r="AN38" s="1822"/>
      <c r="AO38" s="1822"/>
      <c r="AP38" s="1822"/>
      <c r="AQ38" s="1822"/>
      <c r="AR38" s="1822"/>
      <c r="AS38" s="1822"/>
      <c r="AT38" s="1822"/>
      <c r="AU38" s="1822"/>
      <c r="AV38" s="1822"/>
      <c r="AW38" s="1822"/>
      <c r="AX38" s="1822"/>
      <c r="AY38" s="1822"/>
      <c r="AZ38" s="1822"/>
      <c r="BA38" s="1822"/>
      <c r="BB38" s="1822"/>
      <c r="BC38" s="1822"/>
      <c r="BD38" s="1822"/>
      <c r="BE38" s="1822"/>
      <c r="BF38" s="1822"/>
      <c r="BG38" s="1635"/>
    </row>
    <row customHeight="1" ht="0.75">
      <c r="A39" s="1166" t="s">
        <v>1042</v>
      </c>
      <c r="B39" s="1166"/>
      <c r="C39" s="1166"/>
      <c r="D39" s="1160"/>
      <c r="E39" s="1170"/>
      <c r="F39" s="2555"/>
      <c r="G39" s="2534"/>
      <c r="H39" s="2559"/>
      <c r="I39" s="2560"/>
      <c r="J39" s="2561"/>
      <c r="K39" s="2561"/>
      <c r="L39" s="2553"/>
      <c r="M39" s="2287"/>
      <c r="N39" s="2562"/>
      <c r="O39" s="2563"/>
      <c r="P39" s="2609"/>
      <c r="Q39" s="2558"/>
      <c r="R39" s="2558"/>
      <c r="S39" s="2558"/>
      <c r="T39" s="2558"/>
      <c r="U39" s="2558"/>
      <c r="V39" s="2558"/>
      <c r="W39" s="2558"/>
      <c r="X39" s="2558"/>
      <c r="Y39" s="2558"/>
      <c r="Z39" s="2034"/>
      <c r="AA39" s="2035"/>
      <c r="AB39" s="2042"/>
      <c r="AC39" s="2036"/>
      <c r="AD39" s="2036"/>
      <c r="AE39" s="2043"/>
      <c r="AF39" s="2557"/>
      <c r="AG39" s="2553"/>
      <c r="AH39" s="2553"/>
      <c r="AI39" s="2557"/>
      <c r="AJ39" s="2553"/>
      <c r="AK39" s="2553"/>
      <c r="AL39" s="1985"/>
      <c r="AM39" s="1822"/>
      <c r="AN39" s="1822"/>
      <c r="AO39" s="1822"/>
      <c r="AP39" s="1822"/>
      <c r="AQ39" s="1822"/>
      <c r="AR39" s="1822"/>
      <c r="AS39" s="1822"/>
      <c r="AT39" s="1822"/>
      <c r="AU39" s="1822"/>
      <c r="AV39" s="1822"/>
      <c r="AW39" s="1822"/>
      <c r="AX39" s="1822"/>
      <c r="AY39" s="1822"/>
      <c r="AZ39" s="1822"/>
      <c r="BA39" s="1822"/>
      <c r="BB39" s="1822"/>
      <c r="BC39" s="1822"/>
      <c r="BD39" s="1822"/>
      <c r="BE39" s="1822"/>
      <c r="BF39" s="1822"/>
      <c r="BG39" s="1635"/>
    </row>
    <row customHeight="1" ht="0.75">
      <c r="A40" s="1166" t="s">
        <v>1042</v>
      </c>
      <c r="B40" s="1166"/>
      <c r="C40" s="1166"/>
      <c r="D40" s="1160"/>
      <c r="E40" s="1170"/>
      <c r="F40" s="2555"/>
      <c r="G40" s="2534"/>
      <c r="H40" s="2559"/>
      <c r="I40" s="2560"/>
      <c r="J40" s="2561"/>
      <c r="K40" s="2561"/>
      <c r="L40" s="2553"/>
      <c r="M40" s="2287"/>
      <c r="N40" s="2035"/>
      <c r="O40" s="2035"/>
      <c r="P40" s="2042"/>
      <c r="Q40" s="2035"/>
      <c r="R40" s="2035"/>
      <c r="S40" s="2035"/>
      <c r="T40" s="2035"/>
      <c r="U40" s="2035"/>
      <c r="V40" s="2035"/>
      <c r="W40" s="2035"/>
      <c r="X40" s="2035"/>
      <c r="Y40" s="2035"/>
      <c r="Z40" s="2035"/>
      <c r="AA40" s="2035"/>
      <c r="AB40" s="2035"/>
      <c r="AC40" s="2035"/>
      <c r="AD40" s="2035"/>
      <c r="AE40" s="2044"/>
      <c r="AF40" s="2557"/>
      <c r="AG40" s="2553"/>
      <c r="AH40" s="2553"/>
      <c r="AI40" s="2557"/>
      <c r="AJ40" s="2553"/>
      <c r="AK40" s="2553"/>
      <c r="AL40" s="1985"/>
      <c r="AM40" s="1822"/>
      <c r="AN40" s="1822"/>
      <c r="AO40" s="1822"/>
      <c r="AP40" s="1822"/>
      <c r="AQ40" s="1822"/>
      <c r="AR40" s="1822"/>
      <c r="AS40" s="1822"/>
      <c r="AT40" s="1822"/>
      <c r="AU40" s="1822"/>
      <c r="AV40" s="1822"/>
      <c r="AW40" s="1822"/>
      <c r="AX40" s="1822"/>
      <c r="AY40" s="1822"/>
      <c r="AZ40" s="1822"/>
      <c r="BA40" s="1822"/>
      <c r="BB40" s="1822"/>
      <c r="BC40" s="1822"/>
      <c r="BD40" s="1822"/>
      <c r="BE40" s="1822"/>
      <c r="BF40" s="1822"/>
      <c r="BG40" s="1635"/>
    </row>
    <row customHeight="1" ht="11.25">
      <c r="A41" s="1166" t="s">
        <v>1042</v>
      </c>
      <c r="B41" s="1166"/>
      <c r="C41" s="1166"/>
      <c r="D41" s="1160"/>
      <c r="E41" s="1170"/>
      <c r="F41" s="1828"/>
      <c r="G41" s="683" t="s">
        <v>121</v>
      </c>
      <c r="H41" s="2534" t="s">
        <v>110</v>
      </c>
      <c r="I41" s="2535"/>
      <c r="J41" s="2504"/>
      <c r="K41" s="2536" t="s">
        <v>1089</v>
      </c>
      <c r="L41" s="2126" t="s">
        <v>19</v>
      </c>
      <c r="M41" s="2127"/>
      <c r="N41" s="1983"/>
      <c r="O41" s="1177" t="s">
        <v>381</v>
      </c>
      <c r="P41" s="1178"/>
      <c r="Q41" s="1178"/>
      <c r="R41" s="1178"/>
      <c r="S41" s="1178"/>
      <c r="T41" s="1178"/>
      <c r="U41" s="1178"/>
      <c r="V41" s="1178"/>
      <c r="W41" s="1178"/>
      <c r="X41" s="1178"/>
      <c r="Y41" s="1178"/>
      <c r="Z41" s="1178"/>
      <c r="AA41" s="1178"/>
      <c r="AB41" s="1178"/>
      <c r="AC41" s="1178"/>
      <c r="AD41" s="1178"/>
      <c r="AE41" s="1178"/>
      <c r="AF41" s="2525">
        <v>2025</v>
      </c>
      <c r="AG41" s="2526" t="s">
        <v>1075</v>
      </c>
      <c r="AH41" s="2526" t="s">
        <v>1090</v>
      </c>
      <c r="AI41" s="2696"/>
      <c r="AJ41" s="2526" t="s">
        <v>1091</v>
      </c>
      <c r="AK41" s="2526" t="s">
        <v>1091</v>
      </c>
      <c r="AL41" s="1985"/>
      <c r="AM41" s="1822"/>
      <c r="AN41" s="1822"/>
      <c r="AO41" s="1822"/>
      <c r="AP41" s="1822"/>
      <c r="AQ41" s="1822"/>
      <c r="AR41" s="1822"/>
      <c r="AS41" s="1822"/>
      <c r="AT41" s="1822"/>
      <c r="AU41" s="1822"/>
      <c r="AV41" s="1822"/>
      <c r="AW41" s="1822"/>
      <c r="AX41" s="1822"/>
      <c r="AY41" s="1822"/>
      <c r="AZ41" s="1822"/>
      <c r="BA41" s="1822"/>
      <c r="BB41" s="1822"/>
      <c r="BC41" s="1822"/>
      <c r="BD41" s="1822"/>
      <c r="BE41" s="1822"/>
      <c r="BF41" s="1822"/>
      <c r="BG41" s="1635"/>
    </row>
    <row customHeight="1" ht="11.25">
      <c r="A42" s="1166" t="s">
        <v>1042</v>
      </c>
      <c r="B42" s="1166"/>
      <c r="C42" s="1166"/>
      <c r="D42" s="1160"/>
      <c r="E42" s="1170"/>
      <c r="F42" s="1828"/>
      <c r="G42" s="1829"/>
      <c r="H42" s="2534" t="s">
        <v>381</v>
      </c>
      <c r="I42" s="2535"/>
      <c r="J42" s="2504"/>
      <c r="K42" s="2536"/>
      <c r="L42" s="2126"/>
      <c r="M42" s="2127"/>
      <c r="N42" s="2527"/>
      <c r="O42" s="2528">
        <v>1</v>
      </c>
      <c r="P42" s="2529" t="s">
        <v>66</v>
      </c>
      <c r="Q42" s="2694" t="s">
        <v>1077</v>
      </c>
      <c r="R42" s="2695" t="s">
        <v>1078</v>
      </c>
      <c r="S42" s="2695" t="s">
        <v>101</v>
      </c>
      <c r="T42" s="2695" t="s">
        <v>101</v>
      </c>
      <c r="U42" s="2695" t="s">
        <v>102</v>
      </c>
      <c r="V42" s="2695" t="s">
        <v>1079</v>
      </c>
      <c r="W42" s="2695" t="s">
        <v>1080</v>
      </c>
      <c r="X42" s="2695" t="s">
        <v>1081</v>
      </c>
      <c r="Y42" s="2695" t="s">
        <v>1082</v>
      </c>
      <c r="Z42" s="1175"/>
      <c r="AA42" s="1176"/>
      <c r="AB42" s="1176"/>
      <c r="AC42" s="1180"/>
      <c r="AD42" s="1180"/>
      <c r="AE42" s="1181"/>
      <c r="AF42" s="2525"/>
      <c r="AG42" s="2526"/>
      <c r="AH42" s="2526"/>
      <c r="AI42" s="2696"/>
      <c r="AJ42" s="2526"/>
      <c r="AK42" s="2526"/>
      <c r="AL42" s="1985"/>
      <c r="AM42" s="1822"/>
      <c r="AN42" s="1822"/>
      <c r="AO42" s="1822"/>
      <c r="AP42" s="1822"/>
      <c r="AQ42" s="1822"/>
      <c r="AR42" s="1822"/>
      <c r="AS42" s="1822"/>
      <c r="AT42" s="1822"/>
      <c r="AU42" s="1822"/>
      <c r="AV42" s="1822"/>
      <c r="AW42" s="1822"/>
      <c r="AX42" s="1822"/>
      <c r="AY42" s="1822"/>
      <c r="AZ42" s="1822"/>
      <c r="BA42" s="1822"/>
      <c r="BB42" s="1822"/>
      <c r="BC42" s="1822"/>
      <c r="BD42" s="1822"/>
      <c r="BE42" s="1822"/>
      <c r="BF42" s="1822"/>
      <c r="BG42" s="1635"/>
    </row>
    <row customHeight="1" ht="33.64582061767578">
      <c r="A43" s="1166" t="s">
        <v>1042</v>
      </c>
      <c r="B43" s="1166"/>
      <c r="C43" s="1166"/>
      <c r="D43" s="1160"/>
      <c r="E43" s="1170"/>
      <c r="F43" s="1828"/>
      <c r="G43" s="1829"/>
      <c r="H43" s="2534" t="s">
        <v>381</v>
      </c>
      <c r="I43" s="2535"/>
      <c r="J43" s="2504"/>
      <c r="K43" s="2536"/>
      <c r="L43" s="2126"/>
      <c r="M43" s="2127"/>
      <c r="N43" s="2527"/>
      <c r="O43" s="2528"/>
      <c r="P43" s="2530"/>
      <c r="Q43" s="2694"/>
      <c r="R43" s="2532"/>
      <c r="S43" s="2533"/>
      <c r="T43" s="2532"/>
      <c r="U43" s="2532"/>
      <c r="V43" s="2532"/>
      <c r="W43" s="2532"/>
      <c r="X43" s="2532"/>
      <c r="Y43" s="2532"/>
      <c r="Z43" s="1827"/>
      <c r="AA43" s="1793">
        <v>1</v>
      </c>
      <c r="AB43" s="1179" t="s">
        <v>1083</v>
      </c>
      <c r="AC43" s="1169">
        <v>11599.77</v>
      </c>
      <c r="AD43" s="1179" t="str">
        <f>AB43</f>
        <v>      Амортизационные отчисления с выделением результатов переоценки основных средств и нематериальных активов</v>
      </c>
      <c r="AE43" s="1169">
        <v>2797.671</v>
      </c>
      <c r="AF43" s="2525"/>
      <c r="AG43" s="2526"/>
      <c r="AH43" s="2526"/>
      <c r="AI43" s="2696"/>
      <c r="AJ43" s="2526"/>
      <c r="AK43" s="2526"/>
      <c r="AL43" s="1985"/>
      <c r="AM43" s="1822"/>
      <c r="AN43" s="1822"/>
      <c r="AO43" s="1822"/>
      <c r="AP43" s="1822"/>
      <c r="AQ43" s="1822"/>
      <c r="AR43" s="1822"/>
      <c r="AS43" s="1822"/>
      <c r="AT43" s="1822"/>
      <c r="AU43" s="1822"/>
      <c r="AV43" s="1822"/>
      <c r="AW43" s="1822"/>
      <c r="AX43" s="1822"/>
      <c r="AY43" s="1822"/>
      <c r="AZ43" s="1822"/>
      <c r="BA43" s="1822"/>
      <c r="BB43" s="1822"/>
      <c r="BC43" s="1822"/>
      <c r="BD43" s="1822"/>
      <c r="BE43" s="1822"/>
      <c r="BF43" s="1822"/>
      <c r="BG43" s="1635"/>
    </row>
    <row customHeight="1" ht="11.25">
      <c r="A44" s="1166" t="s">
        <v>1042</v>
      </c>
      <c r="B44" s="1166"/>
      <c r="C44" s="1166"/>
      <c r="D44" s="1160"/>
      <c r="E44" s="1170"/>
      <c r="F44" s="1828"/>
      <c r="G44" s="1829"/>
      <c r="H44" s="2534" t="s">
        <v>381</v>
      </c>
      <c r="I44" s="2535"/>
      <c r="J44" s="2504"/>
      <c r="K44" s="2536"/>
      <c r="L44" s="2126"/>
      <c r="M44" s="2127"/>
      <c r="N44" s="2527"/>
      <c r="O44" s="2528"/>
      <c r="P44" s="2531"/>
      <c r="Q44" s="2694"/>
      <c r="R44" s="2532"/>
      <c r="S44" s="2533"/>
      <c r="T44" s="2532"/>
      <c r="U44" s="2532"/>
      <c r="V44" s="2532"/>
      <c r="W44" s="2532"/>
      <c r="X44" s="2532"/>
      <c r="Y44" s="2532"/>
      <c r="Z44" s="1175"/>
      <c r="AA44" s="1176"/>
      <c r="AB44" s="1241" t="s">
        <v>1084</v>
      </c>
      <c r="AC44" s="1180"/>
      <c r="AD44" s="1180"/>
      <c r="AE44" s="1182"/>
      <c r="AF44" s="2525"/>
      <c r="AG44" s="2526"/>
      <c r="AH44" s="2526"/>
      <c r="AI44" s="2696"/>
      <c r="AJ44" s="2526"/>
      <c r="AK44" s="2526"/>
      <c r="AL44" s="1985"/>
      <c r="AM44" s="1822"/>
      <c r="AN44" s="1822"/>
      <c r="AO44" s="1822"/>
      <c r="AP44" s="1822"/>
      <c r="AQ44" s="1822"/>
      <c r="AR44" s="1822"/>
      <c r="AS44" s="1822"/>
      <c r="AT44" s="1822"/>
      <c r="AU44" s="1822"/>
      <c r="AV44" s="1822"/>
      <c r="AW44" s="1822"/>
      <c r="AX44" s="1822"/>
      <c r="AY44" s="1822"/>
      <c r="AZ44" s="1822"/>
      <c r="BA44" s="1822"/>
      <c r="BB44" s="1822"/>
      <c r="BC44" s="1822"/>
      <c r="BD44" s="1822"/>
      <c r="BE44" s="1822"/>
      <c r="BF44" s="1822"/>
      <c r="BG44" s="1635"/>
    </row>
    <row customHeight="1" ht="29.47915395100911">
      <c r="A45" s="1166" t="s">
        <v>1042</v>
      </c>
      <c r="B45" s="1166"/>
      <c r="C45" s="1166"/>
      <c r="D45" s="1160"/>
      <c r="E45" s="1170"/>
      <c r="F45" s="1828"/>
      <c r="G45" s="1829"/>
      <c r="H45" s="2534" t="s">
        <v>381</v>
      </c>
      <c r="I45" s="2535"/>
      <c r="J45" s="2504"/>
      <c r="K45" s="2536"/>
      <c r="L45" s="2126"/>
      <c r="M45" s="2127"/>
      <c r="N45" s="1175"/>
      <c r="O45" s="1176"/>
      <c r="P45" s="1168" t="s">
        <v>1085</v>
      </c>
      <c r="Q45" s="1176"/>
      <c r="R45" s="1176"/>
      <c r="S45" s="1176"/>
      <c r="T45" s="1176"/>
      <c r="U45" s="1176"/>
      <c r="V45" s="1176"/>
      <c r="W45" s="1176"/>
      <c r="X45" s="1176"/>
      <c r="Y45" s="1176"/>
      <c r="Z45" s="1176"/>
      <c r="AA45" s="1176"/>
      <c r="AB45" s="1176"/>
      <c r="AC45" s="1176"/>
      <c r="AD45" s="1176"/>
      <c r="AE45" s="1183"/>
      <c r="AF45" s="2525"/>
      <c r="AG45" s="2526"/>
      <c r="AH45" s="2526"/>
      <c r="AI45" s="2696"/>
      <c r="AJ45" s="2526"/>
      <c r="AK45" s="2526"/>
      <c r="AL45" s="1985"/>
      <c r="AM45" s="1822"/>
      <c r="AN45" s="1822"/>
      <c r="AO45" s="1822"/>
      <c r="AP45" s="1822"/>
      <c r="AQ45" s="1822"/>
      <c r="AR45" s="1822"/>
      <c r="AS45" s="1822"/>
      <c r="AT45" s="1822"/>
      <c r="AU45" s="1822"/>
      <c r="AV45" s="1822"/>
      <c r="AW45" s="1822"/>
      <c r="AX45" s="1822"/>
      <c r="AY45" s="1822"/>
      <c r="AZ45" s="1822"/>
      <c r="BA45" s="1822"/>
      <c r="BB45" s="1822"/>
      <c r="BC45" s="1822"/>
      <c r="BD45" s="1822"/>
      <c r="BE45" s="1822"/>
      <c r="BF45" s="1822"/>
      <c r="BG45" s="1635"/>
    </row>
    <row customHeight="1" ht="11.25">
      <c r="A46" s="1166" t="s">
        <v>1042</v>
      </c>
      <c r="B46" s="1166"/>
      <c r="C46" s="1166"/>
      <c r="D46" s="1160"/>
      <c r="E46" s="1170"/>
      <c r="F46" s="1828"/>
      <c r="G46" s="683" t="s">
        <v>121</v>
      </c>
      <c r="H46" s="2534" t="s">
        <v>111</v>
      </c>
      <c r="I46" s="2535"/>
      <c r="J46" s="2504"/>
      <c r="K46" s="2536" t="s">
        <v>1092</v>
      </c>
      <c r="L46" s="2126" t="s">
        <v>19</v>
      </c>
      <c r="M46" s="2127"/>
      <c r="N46" s="1983"/>
      <c r="O46" s="1177" t="s">
        <v>381</v>
      </c>
      <c r="P46" s="1178"/>
      <c r="Q46" s="1178"/>
      <c r="R46" s="1178"/>
      <c r="S46" s="1178"/>
      <c r="T46" s="1178"/>
      <c r="U46" s="1178"/>
      <c r="V46" s="1178"/>
      <c r="W46" s="1178"/>
      <c r="X46" s="1178"/>
      <c r="Y46" s="1178"/>
      <c r="Z46" s="1178"/>
      <c r="AA46" s="1178"/>
      <c r="AB46" s="1178"/>
      <c r="AC46" s="1178"/>
      <c r="AD46" s="1178"/>
      <c r="AE46" s="1178"/>
      <c r="AF46" s="2525">
        <v>2025</v>
      </c>
      <c r="AG46" s="2526" t="s">
        <v>1075</v>
      </c>
      <c r="AH46" s="2526" t="s">
        <v>1090</v>
      </c>
      <c r="AI46" s="2696"/>
      <c r="AJ46" s="2526" t="s">
        <v>1091</v>
      </c>
      <c r="AK46" s="2526" t="s">
        <v>1091</v>
      </c>
      <c r="AL46" s="1985"/>
      <c r="AM46" s="1822"/>
      <c r="AN46" s="1822"/>
      <c r="AO46" s="1822"/>
      <c r="AP46" s="1822"/>
      <c r="AQ46" s="1822"/>
      <c r="AR46" s="1822"/>
      <c r="AS46" s="1822"/>
      <c r="AT46" s="1822"/>
      <c r="AU46" s="1822"/>
      <c r="AV46" s="1822"/>
      <c r="AW46" s="1822"/>
      <c r="AX46" s="1822"/>
      <c r="AY46" s="1822"/>
      <c r="AZ46" s="1822"/>
      <c r="BA46" s="1822"/>
      <c r="BB46" s="1822"/>
      <c r="BC46" s="1822"/>
      <c r="BD46" s="1822"/>
      <c r="BE46" s="1822"/>
      <c r="BF46" s="1822"/>
      <c r="BG46" s="1635"/>
    </row>
    <row customHeight="1" ht="11.25">
      <c r="A47" s="1166" t="s">
        <v>1042</v>
      </c>
      <c r="B47" s="1166"/>
      <c r="C47" s="1166"/>
      <c r="D47" s="1160"/>
      <c r="E47" s="1170"/>
      <c r="F47" s="1828"/>
      <c r="G47" s="1829"/>
      <c r="H47" s="2534" t="s">
        <v>110</v>
      </c>
      <c r="I47" s="2535"/>
      <c r="J47" s="2504"/>
      <c r="K47" s="2536"/>
      <c r="L47" s="2126"/>
      <c r="M47" s="2127"/>
      <c r="N47" s="2527"/>
      <c r="O47" s="2528">
        <v>1</v>
      </c>
      <c r="P47" s="2529" t="s">
        <v>66</v>
      </c>
      <c r="Q47" s="2694" t="s">
        <v>1077</v>
      </c>
      <c r="R47" s="2695" t="s">
        <v>1078</v>
      </c>
      <c r="S47" s="2695" t="s">
        <v>101</v>
      </c>
      <c r="T47" s="2695" t="s">
        <v>101</v>
      </c>
      <c r="U47" s="2695" t="s">
        <v>102</v>
      </c>
      <c r="V47" s="2695" t="s">
        <v>1079</v>
      </c>
      <c r="W47" s="2695" t="s">
        <v>1080</v>
      </c>
      <c r="X47" s="2695" t="s">
        <v>1081</v>
      </c>
      <c r="Y47" s="2695" t="s">
        <v>1082</v>
      </c>
      <c r="Z47" s="1175"/>
      <c r="AA47" s="1176"/>
      <c r="AB47" s="1176"/>
      <c r="AC47" s="1180"/>
      <c r="AD47" s="1180"/>
      <c r="AE47" s="1181"/>
      <c r="AF47" s="2525"/>
      <c r="AG47" s="2526"/>
      <c r="AH47" s="2526"/>
      <c r="AI47" s="2696"/>
      <c r="AJ47" s="2526"/>
      <c r="AK47" s="2526"/>
      <c r="AL47" s="1985"/>
      <c r="AM47" s="1822"/>
      <c r="AN47" s="1822"/>
      <c r="AO47" s="1822"/>
      <c r="AP47" s="1822"/>
      <c r="AQ47" s="1822"/>
      <c r="AR47" s="1822"/>
      <c r="AS47" s="1822"/>
      <c r="AT47" s="1822"/>
      <c r="AU47" s="1822"/>
      <c r="AV47" s="1822"/>
      <c r="AW47" s="1822"/>
      <c r="AX47" s="1822"/>
      <c r="AY47" s="1822"/>
      <c r="AZ47" s="1822"/>
      <c r="BA47" s="1822"/>
      <c r="BB47" s="1822"/>
      <c r="BC47" s="1822"/>
      <c r="BD47" s="1822"/>
      <c r="BE47" s="1822"/>
      <c r="BF47" s="1822"/>
      <c r="BG47" s="1635"/>
    </row>
    <row customHeight="1" ht="36.97915395100911">
      <c r="A48" s="1166" t="s">
        <v>1042</v>
      </c>
      <c r="B48" s="1166"/>
      <c r="C48" s="1166"/>
      <c r="D48" s="1160"/>
      <c r="E48" s="1170"/>
      <c r="F48" s="1828"/>
      <c r="G48" s="1829"/>
      <c r="H48" s="2534" t="s">
        <v>110</v>
      </c>
      <c r="I48" s="2535"/>
      <c r="J48" s="2504"/>
      <c r="K48" s="2536"/>
      <c r="L48" s="2126"/>
      <c r="M48" s="2127"/>
      <c r="N48" s="2527"/>
      <c r="O48" s="2528"/>
      <c r="P48" s="2530"/>
      <c r="Q48" s="2694"/>
      <c r="R48" s="2532"/>
      <c r="S48" s="2533"/>
      <c r="T48" s="2532"/>
      <c r="U48" s="2532"/>
      <c r="V48" s="2532"/>
      <c r="W48" s="2532"/>
      <c r="X48" s="2532"/>
      <c r="Y48" s="2532"/>
      <c r="Z48" s="1827"/>
      <c r="AA48" s="1793">
        <v>1</v>
      </c>
      <c r="AB48" s="1179" t="s">
        <v>1083</v>
      </c>
      <c r="AC48" s="1169">
        <v>9201.71</v>
      </c>
      <c r="AD48" s="1179" t="str">
        <f>AB48</f>
        <v>      Амортизационные отчисления с выделением результатов переоценки основных средств и нематериальных активов</v>
      </c>
      <c r="AE48" s="1169">
        <v>5725.232</v>
      </c>
      <c r="AF48" s="2525"/>
      <c r="AG48" s="2526"/>
      <c r="AH48" s="2526"/>
      <c r="AI48" s="2696"/>
      <c r="AJ48" s="2526"/>
      <c r="AK48" s="2526"/>
      <c r="AL48" s="1985"/>
      <c r="AM48" s="1822"/>
      <c r="AN48" s="1822"/>
      <c r="AO48" s="1822"/>
      <c r="AP48" s="1822"/>
      <c r="AQ48" s="1822"/>
      <c r="AR48" s="1822"/>
      <c r="AS48" s="1822"/>
      <c r="AT48" s="1822"/>
      <c r="AU48" s="1822"/>
      <c r="AV48" s="1822"/>
      <c r="AW48" s="1822"/>
      <c r="AX48" s="1822"/>
      <c r="AY48" s="1822"/>
      <c r="AZ48" s="1822"/>
      <c r="BA48" s="1822"/>
      <c r="BB48" s="1822"/>
      <c r="BC48" s="1822"/>
      <c r="BD48" s="1822"/>
      <c r="BE48" s="1822"/>
      <c r="BF48" s="1822"/>
      <c r="BG48" s="1635"/>
    </row>
    <row customHeight="1" ht="11.25">
      <c r="A49" s="1166" t="s">
        <v>1042</v>
      </c>
      <c r="B49" s="1166"/>
      <c r="C49" s="1166"/>
      <c r="D49" s="1160"/>
      <c r="E49" s="1170"/>
      <c r="F49" s="1828"/>
      <c r="G49" s="1829"/>
      <c r="H49" s="2534" t="s">
        <v>110</v>
      </c>
      <c r="I49" s="2535"/>
      <c r="J49" s="2504"/>
      <c r="K49" s="2536"/>
      <c r="L49" s="2126"/>
      <c r="M49" s="2127"/>
      <c r="N49" s="2527"/>
      <c r="O49" s="2528"/>
      <c r="P49" s="2531"/>
      <c r="Q49" s="2694"/>
      <c r="R49" s="2532"/>
      <c r="S49" s="2533"/>
      <c r="T49" s="2532"/>
      <c r="U49" s="2532"/>
      <c r="V49" s="2532"/>
      <c r="W49" s="2532"/>
      <c r="X49" s="2532"/>
      <c r="Y49" s="2532"/>
      <c r="Z49" s="1175"/>
      <c r="AA49" s="1176"/>
      <c r="AB49" s="1241" t="s">
        <v>1084</v>
      </c>
      <c r="AC49" s="1180"/>
      <c r="AD49" s="1180"/>
      <c r="AE49" s="1182"/>
      <c r="AF49" s="2525"/>
      <c r="AG49" s="2526"/>
      <c r="AH49" s="2526"/>
      <c r="AI49" s="2696"/>
      <c r="AJ49" s="2526"/>
      <c r="AK49" s="2526"/>
      <c r="AL49" s="1985"/>
      <c r="AM49" s="1822"/>
      <c r="AN49" s="1822"/>
      <c r="AO49" s="1822"/>
      <c r="AP49" s="1822"/>
      <c r="AQ49" s="1822"/>
      <c r="AR49" s="1822"/>
      <c r="AS49" s="1822"/>
      <c r="AT49" s="1822"/>
      <c r="AU49" s="1822"/>
      <c r="AV49" s="1822"/>
      <c r="AW49" s="1822"/>
      <c r="AX49" s="1822"/>
      <c r="AY49" s="1822"/>
      <c r="AZ49" s="1822"/>
      <c r="BA49" s="1822"/>
      <c r="BB49" s="1822"/>
      <c r="BC49" s="1822"/>
      <c r="BD49" s="1822"/>
      <c r="BE49" s="1822"/>
      <c r="BF49" s="1822"/>
      <c r="BG49" s="1635"/>
    </row>
    <row customHeight="1" ht="11.25">
      <c r="A50" s="1166" t="s">
        <v>1042</v>
      </c>
      <c r="B50" s="1166"/>
      <c r="C50" s="1166"/>
      <c r="D50" s="1160"/>
      <c r="E50" s="1170"/>
      <c r="F50" s="1828"/>
      <c r="G50" s="1829"/>
      <c r="H50" s="2534" t="s">
        <v>110</v>
      </c>
      <c r="I50" s="2535"/>
      <c r="J50" s="2504"/>
      <c r="K50" s="2536"/>
      <c r="L50" s="2126"/>
      <c r="M50" s="2127"/>
      <c r="N50" s="1175"/>
      <c r="O50" s="1176"/>
      <c r="P50" s="1168" t="s">
        <v>1085</v>
      </c>
      <c r="Q50" s="1176"/>
      <c r="R50" s="1176"/>
      <c r="S50" s="1176"/>
      <c r="T50" s="1176"/>
      <c r="U50" s="1176"/>
      <c r="V50" s="1176"/>
      <c r="W50" s="1176"/>
      <c r="X50" s="1176"/>
      <c r="Y50" s="1176"/>
      <c r="Z50" s="1176"/>
      <c r="AA50" s="1176"/>
      <c r="AB50" s="1176"/>
      <c r="AC50" s="1176"/>
      <c r="AD50" s="1176"/>
      <c r="AE50" s="1183"/>
      <c r="AF50" s="2525"/>
      <c r="AG50" s="2526"/>
      <c r="AH50" s="2526"/>
      <c r="AI50" s="2696"/>
      <c r="AJ50" s="2526"/>
      <c r="AK50" s="2526"/>
      <c r="AL50" s="1985"/>
      <c r="AM50" s="1822"/>
      <c r="AN50" s="1822"/>
      <c r="AO50" s="1822"/>
      <c r="AP50" s="1822"/>
      <c r="AQ50" s="1822"/>
      <c r="AR50" s="1822"/>
      <c r="AS50" s="1822"/>
      <c r="AT50" s="1822"/>
      <c r="AU50" s="1822"/>
      <c r="AV50" s="1822"/>
      <c r="AW50" s="1822"/>
      <c r="AX50" s="1822"/>
      <c r="AY50" s="1822"/>
      <c r="AZ50" s="1822"/>
      <c r="BA50" s="1822"/>
      <c r="BB50" s="1822"/>
      <c r="BC50" s="1822"/>
      <c r="BD50" s="1822"/>
      <c r="BE50" s="1822"/>
      <c r="BF50" s="1822"/>
      <c r="BG50" s="1635"/>
    </row>
    <row customHeight="1" ht="12">
      <c r="A51" s="1166" t="s">
        <v>1042</v>
      </c>
      <c r="B51" s="1166"/>
      <c r="C51" s="1166"/>
      <c r="D51" s="1160"/>
      <c r="E51" s="1170"/>
      <c r="F51" s="2556"/>
      <c r="G51" s="1190"/>
      <c r="H51" s="1190"/>
      <c r="I51" s="2554" t="s">
        <v>1088</v>
      </c>
      <c r="J51" s="2554"/>
      <c r="K51" s="2554"/>
      <c r="L51" s="1173"/>
      <c r="M51" s="1173"/>
      <c r="N51" s="1174"/>
      <c r="O51" s="1174"/>
      <c r="P51" s="1174"/>
      <c r="Q51" s="1174"/>
      <c r="R51" s="1174"/>
      <c r="S51" s="1174"/>
      <c r="T51" s="1174"/>
      <c r="U51" s="1174"/>
      <c r="V51" s="1174"/>
      <c r="W51" s="1174"/>
      <c r="X51" s="1174"/>
      <c r="Y51" s="1174"/>
      <c r="Z51" s="1174"/>
      <c r="AA51" s="1174"/>
      <c r="AB51" s="1174"/>
      <c r="AC51" s="1174"/>
      <c r="AD51" s="1174"/>
      <c r="AE51" s="1174"/>
      <c r="AF51" s="1174"/>
      <c r="AG51" s="1173"/>
      <c r="AH51" s="1173"/>
      <c r="AI51" s="1174"/>
      <c r="AJ51" s="1173"/>
      <c r="AK51" s="1174"/>
      <c r="AL51" s="1985"/>
      <c r="AM51" s="1822"/>
      <c r="AN51" s="1822"/>
      <c r="AO51" s="1822"/>
      <c r="AP51" s="1822"/>
      <c r="AQ51" s="1822"/>
      <c r="AR51" s="1822"/>
      <c r="AS51" s="1822"/>
      <c r="AT51" s="1822"/>
      <c r="AU51" s="1822"/>
      <c r="AV51" s="1822"/>
      <c r="AW51" s="1822"/>
      <c r="AX51" s="1822"/>
      <c r="AY51" s="1822"/>
      <c r="AZ51" s="1822"/>
      <c r="BA51" s="1822"/>
      <c r="BB51" s="1822"/>
      <c r="BC51" s="1822"/>
      <c r="BD51" s="1822"/>
      <c r="BE51" s="1822"/>
      <c r="BF51" s="1822"/>
      <c r="BG51" s="1635"/>
    </row>
    <row customHeight="1" ht="0.75">
      <c r="A52" s="1166" t="s">
        <v>1042</v>
      </c>
      <c r="B52" s="1166"/>
      <c r="C52" s="1166"/>
      <c r="D52" s="1160"/>
      <c r="E52" s="1170"/>
      <c r="F52" s="2555">
        <v>2026</v>
      </c>
      <c r="G52" s="2534"/>
      <c r="H52" s="2559" t="s">
        <v>381</v>
      </c>
      <c r="I52" s="2560"/>
      <c r="J52" s="2561"/>
      <c r="K52" s="2561"/>
      <c r="L52" s="2553"/>
      <c r="M52" s="2287"/>
      <c r="N52" s="2033"/>
      <c r="O52" s="2032"/>
      <c r="P52" s="2033"/>
      <c r="Q52" s="2033"/>
      <c r="R52" s="2033"/>
      <c r="S52" s="2033"/>
      <c r="T52" s="2033"/>
      <c r="U52" s="2033"/>
      <c r="V52" s="2033"/>
      <c r="W52" s="2033"/>
      <c r="X52" s="2033"/>
      <c r="Y52" s="2033"/>
      <c r="Z52" s="2033"/>
      <c r="AA52" s="2033"/>
      <c r="AB52" s="2033"/>
      <c r="AC52" s="2033"/>
      <c r="AD52" s="2033"/>
      <c r="AE52" s="2033"/>
      <c r="AF52" s="2557"/>
      <c r="AG52" s="2553"/>
      <c r="AH52" s="2553"/>
      <c r="AI52" s="2557"/>
      <c r="AJ52" s="2553"/>
      <c r="AK52" s="2553"/>
      <c r="AL52" s="1985"/>
      <c r="AM52" s="1822"/>
      <c r="AN52" s="1822"/>
      <c r="AO52" s="1822"/>
      <c r="AP52" s="1822"/>
      <c r="AQ52" s="1822"/>
      <c r="AR52" s="1822"/>
      <c r="AS52" s="1822"/>
      <c r="AT52" s="1822"/>
      <c r="AU52" s="1822"/>
      <c r="AV52" s="1822"/>
      <c r="AW52" s="1822"/>
      <c r="AX52" s="1822"/>
      <c r="AY52" s="1822"/>
      <c r="AZ52" s="1822"/>
      <c r="BA52" s="1822"/>
      <c r="BB52" s="1822"/>
      <c r="BC52" s="1822"/>
      <c r="BD52" s="1822"/>
      <c r="BE52" s="1822"/>
      <c r="BF52" s="1822"/>
      <c r="BG52" s="1635"/>
    </row>
    <row customHeight="1" ht="0.75">
      <c r="A53" s="1166" t="s">
        <v>1042</v>
      </c>
      <c r="B53" s="1166"/>
      <c r="C53" s="1166"/>
      <c r="D53" s="1160"/>
      <c r="E53" s="1170"/>
      <c r="F53" s="2555"/>
      <c r="G53" s="2534"/>
      <c r="H53" s="2559"/>
      <c r="I53" s="2560"/>
      <c r="J53" s="2561"/>
      <c r="K53" s="2561"/>
      <c r="L53" s="2553"/>
      <c r="M53" s="2287"/>
      <c r="N53" s="2562"/>
      <c r="O53" s="2563"/>
      <c r="P53" s="2607"/>
      <c r="Q53" s="2558"/>
      <c r="R53" s="2558"/>
      <c r="S53" s="2558"/>
      <c r="T53" s="2558"/>
      <c r="U53" s="2558"/>
      <c r="V53" s="2558"/>
      <c r="W53" s="2558"/>
      <c r="X53" s="2558"/>
      <c r="Y53" s="2558"/>
      <c r="Z53" s="2034"/>
      <c r="AA53" s="2035"/>
      <c r="AB53" s="2035"/>
      <c r="AC53" s="2036"/>
      <c r="AD53" s="2036"/>
      <c r="AE53" s="2037"/>
      <c r="AF53" s="2557"/>
      <c r="AG53" s="2553"/>
      <c r="AH53" s="2553"/>
      <c r="AI53" s="2557"/>
      <c r="AJ53" s="2553"/>
      <c r="AK53" s="2553"/>
      <c r="AL53" s="1985"/>
      <c r="AM53" s="1822"/>
      <c r="AN53" s="1822"/>
      <c r="AO53" s="1822"/>
      <c r="AP53" s="1822"/>
      <c r="AQ53" s="1822"/>
      <c r="AR53" s="1822"/>
      <c r="AS53" s="1822"/>
      <c r="AT53" s="1822"/>
      <c r="AU53" s="1822"/>
      <c r="AV53" s="1822"/>
      <c r="AW53" s="1822"/>
      <c r="AX53" s="1822"/>
      <c r="AY53" s="1822"/>
      <c r="AZ53" s="1822"/>
      <c r="BA53" s="1822"/>
      <c r="BB53" s="1822"/>
      <c r="BC53" s="1822"/>
      <c r="BD53" s="1822"/>
      <c r="BE53" s="1822"/>
      <c r="BF53" s="1822"/>
      <c r="BG53" s="1635"/>
    </row>
    <row customHeight="1" ht="0.75">
      <c r="A54" s="1166" t="s">
        <v>1042</v>
      </c>
      <c r="B54" s="1166"/>
      <c r="C54" s="1166"/>
      <c r="D54" s="1160"/>
      <c r="E54" s="1170"/>
      <c r="F54" s="2555"/>
      <c r="G54" s="2534"/>
      <c r="H54" s="2559"/>
      <c r="I54" s="2560"/>
      <c r="J54" s="2561"/>
      <c r="K54" s="2561"/>
      <c r="L54" s="2553"/>
      <c r="M54" s="2287"/>
      <c r="N54" s="2562"/>
      <c r="O54" s="2563"/>
      <c r="P54" s="2608"/>
      <c r="Q54" s="2558"/>
      <c r="R54" s="2558"/>
      <c r="S54" s="2558"/>
      <c r="T54" s="2558"/>
      <c r="U54" s="2558"/>
      <c r="V54" s="2558"/>
      <c r="W54" s="2558"/>
      <c r="X54" s="2558"/>
      <c r="Y54" s="2558"/>
      <c r="Z54" s="2038"/>
      <c r="AA54" s="2039"/>
      <c r="AB54" s="2040"/>
      <c r="AC54" s="2041"/>
      <c r="AD54" s="2040"/>
      <c r="AE54" s="2041"/>
      <c r="AF54" s="2557"/>
      <c r="AG54" s="2553"/>
      <c r="AH54" s="2553"/>
      <c r="AI54" s="2557"/>
      <c r="AJ54" s="2553"/>
      <c r="AK54" s="2553"/>
      <c r="AL54" s="1985"/>
      <c r="AM54" s="1822"/>
      <c r="AN54" s="1822"/>
      <c r="AO54" s="1822"/>
      <c r="AP54" s="1822"/>
      <c r="AQ54" s="1822"/>
      <c r="AR54" s="1822"/>
      <c r="AS54" s="1822"/>
      <c r="AT54" s="1822"/>
      <c r="AU54" s="1822"/>
      <c r="AV54" s="1822"/>
      <c r="AW54" s="1822"/>
      <c r="AX54" s="1822"/>
      <c r="AY54" s="1822"/>
      <c r="AZ54" s="1822"/>
      <c r="BA54" s="1822"/>
      <c r="BB54" s="1822"/>
      <c r="BC54" s="1822"/>
      <c r="BD54" s="1822"/>
      <c r="BE54" s="1822"/>
      <c r="BF54" s="1822"/>
      <c r="BG54" s="1635"/>
    </row>
    <row customHeight="1" ht="0.75">
      <c r="A55" s="1166" t="s">
        <v>1042</v>
      </c>
      <c r="B55" s="1166"/>
      <c r="C55" s="1166"/>
      <c r="D55" s="1160"/>
      <c r="E55" s="1170"/>
      <c r="F55" s="2555"/>
      <c r="G55" s="2534"/>
      <c r="H55" s="2559"/>
      <c r="I55" s="2560"/>
      <c r="J55" s="2561"/>
      <c r="K55" s="2561"/>
      <c r="L55" s="2553"/>
      <c r="M55" s="2287"/>
      <c r="N55" s="2562"/>
      <c r="O55" s="2563"/>
      <c r="P55" s="2609"/>
      <c r="Q55" s="2558"/>
      <c r="R55" s="2558"/>
      <c r="S55" s="2558"/>
      <c r="T55" s="2558"/>
      <c r="U55" s="2558"/>
      <c r="V55" s="2558"/>
      <c r="W55" s="2558"/>
      <c r="X55" s="2558"/>
      <c r="Y55" s="2558"/>
      <c r="Z55" s="2034"/>
      <c r="AA55" s="2035"/>
      <c r="AB55" s="2042"/>
      <c r="AC55" s="2036"/>
      <c r="AD55" s="2036"/>
      <c r="AE55" s="2043"/>
      <c r="AF55" s="2557"/>
      <c r="AG55" s="2553"/>
      <c r="AH55" s="2553"/>
      <c r="AI55" s="2557"/>
      <c r="AJ55" s="2553"/>
      <c r="AK55" s="2553"/>
      <c r="AL55" s="1985"/>
      <c r="AM55" s="1822"/>
      <c r="AN55" s="1822"/>
      <c r="AO55" s="1822"/>
      <c r="AP55" s="1822"/>
      <c r="AQ55" s="1822"/>
      <c r="AR55" s="1822"/>
      <c r="AS55" s="1822"/>
      <c r="AT55" s="1822"/>
      <c r="AU55" s="1822"/>
      <c r="AV55" s="1822"/>
      <c r="AW55" s="1822"/>
      <c r="AX55" s="1822"/>
      <c r="AY55" s="1822"/>
      <c r="AZ55" s="1822"/>
      <c r="BA55" s="1822"/>
      <c r="BB55" s="1822"/>
      <c r="BC55" s="1822"/>
      <c r="BD55" s="1822"/>
      <c r="BE55" s="1822"/>
      <c r="BF55" s="1822"/>
      <c r="BG55" s="1635"/>
    </row>
    <row customHeight="1" ht="0.75">
      <c r="A56" s="1166" t="s">
        <v>1042</v>
      </c>
      <c r="B56" s="1166"/>
      <c r="C56" s="1166"/>
      <c r="D56" s="1160"/>
      <c r="E56" s="1170"/>
      <c r="F56" s="2555"/>
      <c r="G56" s="2534"/>
      <c r="H56" s="2559"/>
      <c r="I56" s="2560"/>
      <c r="J56" s="2561"/>
      <c r="K56" s="2561"/>
      <c r="L56" s="2553"/>
      <c r="M56" s="2287"/>
      <c r="N56" s="2035"/>
      <c r="O56" s="2035"/>
      <c r="P56" s="2042"/>
      <c r="Q56" s="2035"/>
      <c r="R56" s="2035"/>
      <c r="S56" s="2035"/>
      <c r="T56" s="2035"/>
      <c r="U56" s="2035"/>
      <c r="V56" s="2035"/>
      <c r="W56" s="2035"/>
      <c r="X56" s="2035"/>
      <c r="Y56" s="2035"/>
      <c r="Z56" s="2035"/>
      <c r="AA56" s="2035"/>
      <c r="AB56" s="2035"/>
      <c r="AC56" s="2035"/>
      <c r="AD56" s="2035"/>
      <c r="AE56" s="2044"/>
      <c r="AF56" s="2557"/>
      <c r="AG56" s="2553"/>
      <c r="AH56" s="2553"/>
      <c r="AI56" s="2557"/>
      <c r="AJ56" s="2553"/>
      <c r="AK56" s="2553"/>
      <c r="AL56" s="1985"/>
      <c r="AM56" s="1822"/>
      <c r="AN56" s="1822"/>
      <c r="AO56" s="1822"/>
      <c r="AP56" s="1822"/>
      <c r="AQ56" s="1822"/>
      <c r="AR56" s="1822"/>
      <c r="AS56" s="1822"/>
      <c r="AT56" s="1822"/>
      <c r="AU56" s="1822"/>
      <c r="AV56" s="1822"/>
      <c r="AW56" s="1822"/>
      <c r="AX56" s="1822"/>
      <c r="AY56" s="1822"/>
      <c r="AZ56" s="1822"/>
      <c r="BA56" s="1822"/>
      <c r="BB56" s="1822"/>
      <c r="BC56" s="1822"/>
      <c r="BD56" s="1822"/>
      <c r="BE56" s="1822"/>
      <c r="BF56" s="1822"/>
      <c r="BG56" s="1635"/>
    </row>
    <row customHeight="1" ht="11.25">
      <c r="A57" s="1166" t="s">
        <v>1042</v>
      </c>
      <c r="B57" s="1166"/>
      <c r="C57" s="1166"/>
      <c r="D57" s="1160"/>
      <c r="E57" s="1170"/>
      <c r="F57" s="1828"/>
      <c r="G57" s="683" t="s">
        <v>121</v>
      </c>
      <c r="H57" s="2534" t="s">
        <v>110</v>
      </c>
      <c r="I57" s="2535"/>
      <c r="J57" s="2504"/>
      <c r="K57" s="2536" t="s">
        <v>1093</v>
      </c>
      <c r="L57" s="2126" t="s">
        <v>19</v>
      </c>
      <c r="M57" s="2127"/>
      <c r="N57" s="1983"/>
      <c r="O57" s="1177" t="s">
        <v>381</v>
      </c>
      <c r="P57" s="1178"/>
      <c r="Q57" s="1178"/>
      <c r="R57" s="1178"/>
      <c r="S57" s="1178"/>
      <c r="T57" s="1178"/>
      <c r="U57" s="1178"/>
      <c r="V57" s="1178"/>
      <c r="W57" s="1178"/>
      <c r="X57" s="1178"/>
      <c r="Y57" s="1178"/>
      <c r="Z57" s="1178"/>
      <c r="AA57" s="1178"/>
      <c r="AB57" s="1178"/>
      <c r="AC57" s="1178"/>
      <c r="AD57" s="1178"/>
      <c r="AE57" s="1178"/>
      <c r="AF57" s="2525">
        <v>2026</v>
      </c>
      <c r="AG57" s="2526" t="s">
        <v>1075</v>
      </c>
      <c r="AH57" s="2526" t="s">
        <v>1094</v>
      </c>
      <c r="AI57" s="2696"/>
      <c r="AJ57" s="2526" t="s">
        <v>1091</v>
      </c>
      <c r="AK57" s="2526" t="s">
        <v>1091</v>
      </c>
      <c r="AL57" s="1985"/>
      <c r="AM57" s="1822"/>
      <c r="AN57" s="1822"/>
      <c r="AO57" s="1822"/>
      <c r="AP57" s="1822"/>
      <c r="AQ57" s="1822"/>
      <c r="AR57" s="1822"/>
      <c r="AS57" s="1822"/>
      <c r="AT57" s="1822"/>
      <c r="AU57" s="1822"/>
      <c r="AV57" s="1822"/>
      <c r="AW57" s="1822"/>
      <c r="AX57" s="1822"/>
      <c r="AY57" s="1822"/>
      <c r="AZ57" s="1822"/>
      <c r="BA57" s="1822"/>
      <c r="BB57" s="1822"/>
      <c r="BC57" s="1822"/>
      <c r="BD57" s="1822"/>
      <c r="BE57" s="1822"/>
      <c r="BF57" s="1822"/>
      <c r="BG57" s="1635"/>
    </row>
    <row customHeight="1" ht="11.25">
      <c r="A58" s="1166" t="s">
        <v>1042</v>
      </c>
      <c r="B58" s="1166"/>
      <c r="C58" s="1166"/>
      <c r="D58" s="1160"/>
      <c r="E58" s="1170"/>
      <c r="F58" s="1828"/>
      <c r="G58" s="1829"/>
      <c r="H58" s="2534" t="s">
        <v>381</v>
      </c>
      <c r="I58" s="2535"/>
      <c r="J58" s="2504"/>
      <c r="K58" s="2536"/>
      <c r="L58" s="2126"/>
      <c r="M58" s="2127"/>
      <c r="N58" s="2527"/>
      <c r="O58" s="2528">
        <v>1</v>
      </c>
      <c r="P58" s="2529" t="s">
        <v>66</v>
      </c>
      <c r="Q58" s="2694" t="s">
        <v>1077</v>
      </c>
      <c r="R58" s="2695" t="s">
        <v>1078</v>
      </c>
      <c r="S58" s="2695" t="s">
        <v>101</v>
      </c>
      <c r="T58" s="2695" t="s">
        <v>101</v>
      </c>
      <c r="U58" s="2695" t="s">
        <v>102</v>
      </c>
      <c r="V58" s="2695" t="s">
        <v>1079</v>
      </c>
      <c r="W58" s="2695" t="s">
        <v>1080</v>
      </c>
      <c r="X58" s="2695" t="s">
        <v>1081</v>
      </c>
      <c r="Y58" s="2695" t="s">
        <v>1082</v>
      </c>
      <c r="Z58" s="1175"/>
      <c r="AA58" s="1176"/>
      <c r="AB58" s="1176"/>
      <c r="AC58" s="1180"/>
      <c r="AD58" s="1180"/>
      <c r="AE58" s="1181"/>
      <c r="AF58" s="2525"/>
      <c r="AG58" s="2526"/>
      <c r="AH58" s="2526"/>
      <c r="AI58" s="2696"/>
      <c r="AJ58" s="2526"/>
      <c r="AK58" s="2526"/>
      <c r="AL58" s="1985"/>
      <c r="AM58" s="1822"/>
      <c r="AN58" s="1822"/>
      <c r="AO58" s="1822"/>
      <c r="AP58" s="1822"/>
      <c r="AQ58" s="1822"/>
      <c r="AR58" s="1822"/>
      <c r="AS58" s="1822"/>
      <c r="AT58" s="1822"/>
      <c r="AU58" s="1822"/>
      <c r="AV58" s="1822"/>
      <c r="AW58" s="1822"/>
      <c r="AX58" s="1822"/>
      <c r="AY58" s="1822"/>
      <c r="AZ58" s="1822"/>
      <c r="BA58" s="1822"/>
      <c r="BB58" s="1822"/>
      <c r="BC58" s="1822"/>
      <c r="BD58" s="1822"/>
      <c r="BE58" s="1822"/>
      <c r="BF58" s="1822"/>
      <c r="BG58" s="1635"/>
    </row>
    <row customHeight="1" ht="29.47915395100911">
      <c r="A59" s="1166" t="s">
        <v>1042</v>
      </c>
      <c r="B59" s="1166"/>
      <c r="C59" s="1166"/>
      <c r="D59" s="1160"/>
      <c r="E59" s="1170"/>
      <c r="F59" s="1828"/>
      <c r="G59" s="1829"/>
      <c r="H59" s="2534" t="s">
        <v>381</v>
      </c>
      <c r="I59" s="2535"/>
      <c r="J59" s="2504"/>
      <c r="K59" s="2536"/>
      <c r="L59" s="2126"/>
      <c r="M59" s="2127"/>
      <c r="N59" s="2527"/>
      <c r="O59" s="2528"/>
      <c r="P59" s="2530"/>
      <c r="Q59" s="2694"/>
      <c r="R59" s="2532"/>
      <c r="S59" s="2533"/>
      <c r="T59" s="2532"/>
      <c r="U59" s="2532"/>
      <c r="V59" s="2532"/>
      <c r="W59" s="2532"/>
      <c r="X59" s="2532"/>
      <c r="Y59" s="2532"/>
      <c r="Z59" s="1827"/>
      <c r="AA59" s="1793">
        <v>1</v>
      </c>
      <c r="AB59" s="1179" t="s">
        <v>1083</v>
      </c>
      <c r="AC59" s="1169">
        <v>20374.9</v>
      </c>
      <c r="AD59" s="1179" t="str">
        <f>AB59</f>
        <v>      Амортизационные отчисления с выделением результатов переоценки основных средств и нематериальных активов</v>
      </c>
      <c r="AE59" s="1169">
        <v>0</v>
      </c>
      <c r="AF59" s="2525"/>
      <c r="AG59" s="2526"/>
      <c r="AH59" s="2526"/>
      <c r="AI59" s="2696"/>
      <c r="AJ59" s="2526"/>
      <c r="AK59" s="2526"/>
      <c r="AL59" s="1985"/>
      <c r="AM59" s="1822"/>
      <c r="AN59" s="1822"/>
      <c r="AO59" s="1822"/>
      <c r="AP59" s="1822"/>
      <c r="AQ59" s="1822"/>
      <c r="AR59" s="1822"/>
      <c r="AS59" s="1822"/>
      <c r="AT59" s="1822"/>
      <c r="AU59" s="1822"/>
      <c r="AV59" s="1822"/>
      <c r="AW59" s="1822"/>
      <c r="AX59" s="1822"/>
      <c r="AY59" s="1822"/>
      <c r="AZ59" s="1822"/>
      <c r="BA59" s="1822"/>
      <c r="BB59" s="1822"/>
      <c r="BC59" s="1822"/>
      <c r="BD59" s="1822"/>
      <c r="BE59" s="1822"/>
      <c r="BF59" s="1822"/>
      <c r="BG59" s="1635"/>
    </row>
    <row customHeight="1" ht="11.25">
      <c r="A60" s="1166" t="s">
        <v>1042</v>
      </c>
      <c r="B60" s="1166"/>
      <c r="C60" s="1166"/>
      <c r="D60" s="1160"/>
      <c r="E60" s="1170"/>
      <c r="F60" s="1828"/>
      <c r="G60" s="1829"/>
      <c r="H60" s="2534" t="s">
        <v>381</v>
      </c>
      <c r="I60" s="2535"/>
      <c r="J60" s="2504"/>
      <c r="K60" s="2536"/>
      <c r="L60" s="2126"/>
      <c r="M60" s="2127"/>
      <c r="N60" s="2527"/>
      <c r="O60" s="2528"/>
      <c r="P60" s="2531"/>
      <c r="Q60" s="2694"/>
      <c r="R60" s="2532"/>
      <c r="S60" s="2533"/>
      <c r="T60" s="2532"/>
      <c r="U60" s="2532"/>
      <c r="V60" s="2532"/>
      <c r="W60" s="2532"/>
      <c r="X60" s="2532"/>
      <c r="Y60" s="2532"/>
      <c r="Z60" s="1175"/>
      <c r="AA60" s="1176"/>
      <c r="AB60" s="1241" t="s">
        <v>1084</v>
      </c>
      <c r="AC60" s="1180"/>
      <c r="AD60" s="1180"/>
      <c r="AE60" s="1182"/>
      <c r="AF60" s="2525"/>
      <c r="AG60" s="2526"/>
      <c r="AH60" s="2526"/>
      <c r="AI60" s="2696"/>
      <c r="AJ60" s="2526"/>
      <c r="AK60" s="2526"/>
      <c r="AL60" s="1985"/>
      <c r="AM60" s="1822"/>
      <c r="AN60" s="1822"/>
      <c r="AO60" s="1822"/>
      <c r="AP60" s="1822"/>
      <c r="AQ60" s="1822"/>
      <c r="AR60" s="1822"/>
      <c r="AS60" s="1822"/>
      <c r="AT60" s="1822"/>
      <c r="AU60" s="1822"/>
      <c r="AV60" s="1822"/>
      <c r="AW60" s="1822"/>
      <c r="AX60" s="1822"/>
      <c r="AY60" s="1822"/>
      <c r="AZ60" s="1822"/>
      <c r="BA60" s="1822"/>
      <c r="BB60" s="1822"/>
      <c r="BC60" s="1822"/>
      <c r="BD60" s="1822"/>
      <c r="BE60" s="1822"/>
      <c r="BF60" s="1822"/>
      <c r="BG60" s="1635"/>
    </row>
    <row customHeight="1" ht="11.25">
      <c r="A61" s="1166" t="s">
        <v>1042</v>
      </c>
      <c r="B61" s="1166"/>
      <c r="C61" s="1166"/>
      <c r="D61" s="1160"/>
      <c r="E61" s="1170"/>
      <c r="F61" s="1828"/>
      <c r="G61" s="1829"/>
      <c r="H61" s="2534" t="s">
        <v>381</v>
      </c>
      <c r="I61" s="2535"/>
      <c r="J61" s="2504"/>
      <c r="K61" s="2536"/>
      <c r="L61" s="2126"/>
      <c r="M61" s="2127"/>
      <c r="N61" s="1175"/>
      <c r="O61" s="1176"/>
      <c r="P61" s="1168" t="s">
        <v>1085</v>
      </c>
      <c r="Q61" s="1176"/>
      <c r="R61" s="1176"/>
      <c r="S61" s="1176"/>
      <c r="T61" s="1176"/>
      <c r="U61" s="1176"/>
      <c r="V61" s="1176"/>
      <c r="W61" s="1176"/>
      <c r="X61" s="1176"/>
      <c r="Y61" s="1176"/>
      <c r="Z61" s="1176"/>
      <c r="AA61" s="1176"/>
      <c r="AB61" s="1176"/>
      <c r="AC61" s="1176"/>
      <c r="AD61" s="1176"/>
      <c r="AE61" s="1183"/>
      <c r="AF61" s="2525"/>
      <c r="AG61" s="2526"/>
      <c r="AH61" s="2526"/>
      <c r="AI61" s="2696"/>
      <c r="AJ61" s="2526"/>
      <c r="AK61" s="2526"/>
      <c r="AL61" s="1985"/>
      <c r="AM61" s="1822"/>
      <c r="AN61" s="1822"/>
      <c r="AO61" s="1822"/>
      <c r="AP61" s="1822"/>
      <c r="AQ61" s="1822"/>
      <c r="AR61" s="1822"/>
      <c r="AS61" s="1822"/>
      <c r="AT61" s="1822"/>
      <c r="AU61" s="1822"/>
      <c r="AV61" s="1822"/>
      <c r="AW61" s="1822"/>
      <c r="AX61" s="1822"/>
      <c r="AY61" s="1822"/>
      <c r="AZ61" s="1822"/>
      <c r="BA61" s="1822"/>
      <c r="BB61" s="1822"/>
      <c r="BC61" s="1822"/>
      <c r="BD61" s="1822"/>
      <c r="BE61" s="1822"/>
      <c r="BF61" s="1822"/>
      <c r="BG61" s="1635"/>
    </row>
    <row customHeight="1" ht="11.25">
      <c r="A62" s="1166" t="s">
        <v>1042</v>
      </c>
      <c r="B62" s="1166"/>
      <c r="C62" s="1166"/>
      <c r="D62" s="1160"/>
      <c r="E62" s="1170"/>
      <c r="F62" s="1828"/>
      <c r="G62" s="683" t="s">
        <v>121</v>
      </c>
      <c r="H62" s="2534" t="s">
        <v>111</v>
      </c>
      <c r="I62" s="2535"/>
      <c r="J62" s="2504"/>
      <c r="K62" s="2536" t="s">
        <v>1095</v>
      </c>
      <c r="L62" s="2126" t="s">
        <v>19</v>
      </c>
      <c r="M62" s="2127"/>
      <c r="N62" s="1983"/>
      <c r="O62" s="1177" t="s">
        <v>381</v>
      </c>
      <c r="P62" s="1178"/>
      <c r="Q62" s="1178"/>
      <c r="R62" s="1178"/>
      <c r="S62" s="1178"/>
      <c r="T62" s="1178"/>
      <c r="U62" s="1178"/>
      <c r="V62" s="1178"/>
      <c r="W62" s="1178"/>
      <c r="X62" s="1178"/>
      <c r="Y62" s="1178"/>
      <c r="Z62" s="1178"/>
      <c r="AA62" s="1178"/>
      <c r="AB62" s="1178"/>
      <c r="AC62" s="1178"/>
      <c r="AD62" s="1178"/>
      <c r="AE62" s="1178"/>
      <c r="AF62" s="2525">
        <v>2026</v>
      </c>
      <c r="AG62" s="2526" t="s">
        <v>1075</v>
      </c>
      <c r="AH62" s="2526" t="s">
        <v>1094</v>
      </c>
      <c r="AI62" s="2696"/>
      <c r="AJ62" s="2526" t="s">
        <v>1091</v>
      </c>
      <c r="AK62" s="2526" t="s">
        <v>1091</v>
      </c>
      <c r="AL62" s="1985"/>
      <c r="AM62" s="1822"/>
      <c r="AN62" s="1822"/>
      <c r="AO62" s="1822"/>
      <c r="AP62" s="1822"/>
      <c r="AQ62" s="1822"/>
      <c r="AR62" s="1822"/>
      <c r="AS62" s="1822"/>
      <c r="AT62" s="1822"/>
      <c r="AU62" s="1822"/>
      <c r="AV62" s="1822"/>
      <c r="AW62" s="1822"/>
      <c r="AX62" s="1822"/>
      <c r="AY62" s="1822"/>
      <c r="AZ62" s="1822"/>
      <c r="BA62" s="1822"/>
      <c r="BB62" s="1822"/>
      <c r="BC62" s="1822"/>
      <c r="BD62" s="1822"/>
      <c r="BE62" s="1822"/>
      <c r="BF62" s="1822"/>
      <c r="BG62" s="1635"/>
    </row>
    <row customHeight="1" ht="11.25">
      <c r="A63" s="1166" t="s">
        <v>1042</v>
      </c>
      <c r="B63" s="1166"/>
      <c r="C63" s="1166"/>
      <c r="D63" s="1160"/>
      <c r="E63" s="1170"/>
      <c r="F63" s="1828"/>
      <c r="G63" s="1829"/>
      <c r="H63" s="2534" t="s">
        <v>110</v>
      </c>
      <c r="I63" s="2535"/>
      <c r="J63" s="2504"/>
      <c r="K63" s="2536"/>
      <c r="L63" s="2126"/>
      <c r="M63" s="2127"/>
      <c r="N63" s="2527"/>
      <c r="O63" s="2528">
        <v>1</v>
      </c>
      <c r="P63" s="2529" t="s">
        <v>66</v>
      </c>
      <c r="Q63" s="2694" t="s">
        <v>1077</v>
      </c>
      <c r="R63" s="2695" t="s">
        <v>1078</v>
      </c>
      <c r="S63" s="2695" t="s">
        <v>101</v>
      </c>
      <c r="T63" s="2695" t="s">
        <v>101</v>
      </c>
      <c r="U63" s="2695" t="s">
        <v>102</v>
      </c>
      <c r="V63" s="2695" t="s">
        <v>1079</v>
      </c>
      <c r="W63" s="2695" t="s">
        <v>1080</v>
      </c>
      <c r="X63" s="2695" t="s">
        <v>1081</v>
      </c>
      <c r="Y63" s="2695" t="s">
        <v>1082</v>
      </c>
      <c r="Z63" s="1175"/>
      <c r="AA63" s="1176"/>
      <c r="AB63" s="1176"/>
      <c r="AC63" s="1180"/>
      <c r="AD63" s="1180"/>
      <c r="AE63" s="1181"/>
      <c r="AF63" s="2525"/>
      <c r="AG63" s="2526"/>
      <c r="AH63" s="2526"/>
      <c r="AI63" s="2696"/>
      <c r="AJ63" s="2526"/>
      <c r="AK63" s="2526"/>
      <c r="AL63" s="1985"/>
      <c r="AM63" s="1822"/>
      <c r="AN63" s="1822"/>
      <c r="AO63" s="1822"/>
      <c r="AP63" s="1822"/>
      <c r="AQ63" s="1822"/>
      <c r="AR63" s="1822"/>
      <c r="AS63" s="1822"/>
      <c r="AT63" s="1822"/>
      <c r="AU63" s="1822"/>
      <c r="AV63" s="1822"/>
      <c r="AW63" s="1822"/>
      <c r="AX63" s="1822"/>
      <c r="AY63" s="1822"/>
      <c r="AZ63" s="1822"/>
      <c r="BA63" s="1822"/>
      <c r="BB63" s="1822"/>
      <c r="BC63" s="1822"/>
      <c r="BD63" s="1822"/>
      <c r="BE63" s="1822"/>
      <c r="BF63" s="1822"/>
      <c r="BG63" s="1635"/>
    </row>
    <row customHeight="1" ht="32.812487284342446">
      <c r="A64" s="1166" t="s">
        <v>1042</v>
      </c>
      <c r="B64" s="1166"/>
      <c r="C64" s="1166"/>
      <c r="D64" s="1160"/>
      <c r="E64" s="1170"/>
      <c r="F64" s="1828"/>
      <c r="G64" s="1829"/>
      <c r="H64" s="2534" t="s">
        <v>110</v>
      </c>
      <c r="I64" s="2535"/>
      <c r="J64" s="2504"/>
      <c r="K64" s="2536"/>
      <c r="L64" s="2126"/>
      <c r="M64" s="2127"/>
      <c r="N64" s="2527"/>
      <c r="O64" s="2528"/>
      <c r="P64" s="2530"/>
      <c r="Q64" s="2694"/>
      <c r="R64" s="2532"/>
      <c r="S64" s="2533"/>
      <c r="T64" s="2532"/>
      <c r="U64" s="2532"/>
      <c r="V64" s="2532"/>
      <c r="W64" s="2532"/>
      <c r="X64" s="2532"/>
      <c r="Y64" s="2532"/>
      <c r="Z64" s="1827"/>
      <c r="AA64" s="1793">
        <v>1</v>
      </c>
      <c r="AB64" s="1179" t="s">
        <v>1083</v>
      </c>
      <c r="AC64" s="1169">
        <v>1445.44</v>
      </c>
      <c r="AD64" s="1179" t="str">
        <f>AB64</f>
        <v>      Амортизационные отчисления с выделением результатов переоценки основных средств и нематериальных активов</v>
      </c>
      <c r="AE64" s="1169">
        <v>0</v>
      </c>
      <c r="AF64" s="2525"/>
      <c r="AG64" s="2526"/>
      <c r="AH64" s="2526"/>
      <c r="AI64" s="2696"/>
      <c r="AJ64" s="2526"/>
      <c r="AK64" s="2526"/>
      <c r="AL64" s="1985"/>
      <c r="AM64" s="1822"/>
      <c r="AN64" s="1822"/>
      <c r="AO64" s="1822"/>
      <c r="AP64" s="1822"/>
      <c r="AQ64" s="1822"/>
      <c r="AR64" s="1822"/>
      <c r="AS64" s="1822"/>
      <c r="AT64" s="1822"/>
      <c r="AU64" s="1822"/>
      <c r="AV64" s="1822"/>
      <c r="AW64" s="1822"/>
      <c r="AX64" s="1822"/>
      <c r="AY64" s="1822"/>
      <c r="AZ64" s="1822"/>
      <c r="BA64" s="1822"/>
      <c r="BB64" s="1822"/>
      <c r="BC64" s="1822"/>
      <c r="BD64" s="1822"/>
      <c r="BE64" s="1822"/>
      <c r="BF64" s="1822"/>
      <c r="BG64" s="1635"/>
    </row>
    <row customHeight="1" ht="11.25">
      <c r="A65" s="1166" t="s">
        <v>1042</v>
      </c>
      <c r="B65" s="1166"/>
      <c r="C65" s="1166"/>
      <c r="D65" s="1160"/>
      <c r="E65" s="1170"/>
      <c r="F65" s="1828"/>
      <c r="G65" s="1829"/>
      <c r="H65" s="2534" t="s">
        <v>110</v>
      </c>
      <c r="I65" s="2535"/>
      <c r="J65" s="2504"/>
      <c r="K65" s="2536"/>
      <c r="L65" s="2126"/>
      <c r="M65" s="2127"/>
      <c r="N65" s="2527"/>
      <c r="O65" s="2528"/>
      <c r="P65" s="2531"/>
      <c r="Q65" s="2694"/>
      <c r="R65" s="2532"/>
      <c r="S65" s="2533"/>
      <c r="T65" s="2532"/>
      <c r="U65" s="2532"/>
      <c r="V65" s="2532"/>
      <c r="W65" s="2532"/>
      <c r="X65" s="2532"/>
      <c r="Y65" s="2532"/>
      <c r="Z65" s="1175"/>
      <c r="AA65" s="1176"/>
      <c r="AB65" s="1241" t="s">
        <v>1084</v>
      </c>
      <c r="AC65" s="1180"/>
      <c r="AD65" s="1180"/>
      <c r="AE65" s="1182"/>
      <c r="AF65" s="2525"/>
      <c r="AG65" s="2526"/>
      <c r="AH65" s="2526"/>
      <c r="AI65" s="2696"/>
      <c r="AJ65" s="2526"/>
      <c r="AK65" s="2526"/>
      <c r="AL65" s="1985"/>
      <c r="AM65" s="1822"/>
      <c r="AN65" s="1822"/>
      <c r="AO65" s="1822"/>
      <c r="AP65" s="1822"/>
      <c r="AQ65" s="1822"/>
      <c r="AR65" s="1822"/>
      <c r="AS65" s="1822"/>
      <c r="AT65" s="1822"/>
      <c r="AU65" s="1822"/>
      <c r="AV65" s="1822"/>
      <c r="AW65" s="1822"/>
      <c r="AX65" s="1822"/>
      <c r="AY65" s="1822"/>
      <c r="AZ65" s="1822"/>
      <c r="BA65" s="1822"/>
      <c r="BB65" s="1822"/>
      <c r="BC65" s="1822"/>
      <c r="BD65" s="1822"/>
      <c r="BE65" s="1822"/>
      <c r="BF65" s="1822"/>
      <c r="BG65" s="1635"/>
    </row>
    <row customHeight="1" ht="11.25">
      <c r="A66" s="1166" t="s">
        <v>1042</v>
      </c>
      <c r="B66" s="1166"/>
      <c r="C66" s="1166"/>
      <c r="D66" s="1160"/>
      <c r="E66" s="1170"/>
      <c r="F66" s="1828"/>
      <c r="G66" s="1829"/>
      <c r="H66" s="2534" t="s">
        <v>110</v>
      </c>
      <c r="I66" s="2535"/>
      <c r="J66" s="2504"/>
      <c r="K66" s="2536"/>
      <c r="L66" s="2126"/>
      <c r="M66" s="2127"/>
      <c r="N66" s="1175"/>
      <c r="O66" s="1176"/>
      <c r="P66" s="1168" t="s">
        <v>1085</v>
      </c>
      <c r="Q66" s="1176"/>
      <c r="R66" s="1176"/>
      <c r="S66" s="1176"/>
      <c r="T66" s="1176"/>
      <c r="U66" s="1176"/>
      <c r="V66" s="1176"/>
      <c r="W66" s="1176"/>
      <c r="X66" s="1176"/>
      <c r="Y66" s="1176"/>
      <c r="Z66" s="1176"/>
      <c r="AA66" s="1176"/>
      <c r="AB66" s="1176"/>
      <c r="AC66" s="1176"/>
      <c r="AD66" s="1176"/>
      <c r="AE66" s="1183"/>
      <c r="AF66" s="2525"/>
      <c r="AG66" s="2526"/>
      <c r="AH66" s="2526"/>
      <c r="AI66" s="2696"/>
      <c r="AJ66" s="2526"/>
      <c r="AK66" s="2526"/>
      <c r="AL66" s="1985"/>
      <c r="AM66" s="1822"/>
      <c r="AN66" s="1822"/>
      <c r="AO66" s="1822"/>
      <c r="AP66" s="1822"/>
      <c r="AQ66" s="1822"/>
      <c r="AR66" s="1822"/>
      <c r="AS66" s="1822"/>
      <c r="AT66" s="1822"/>
      <c r="AU66" s="1822"/>
      <c r="AV66" s="1822"/>
      <c r="AW66" s="1822"/>
      <c r="AX66" s="1822"/>
      <c r="AY66" s="1822"/>
      <c r="AZ66" s="1822"/>
      <c r="BA66" s="1822"/>
      <c r="BB66" s="1822"/>
      <c r="BC66" s="1822"/>
      <c r="BD66" s="1822"/>
      <c r="BE66" s="1822"/>
      <c r="BF66" s="1822"/>
      <c r="BG66" s="1635"/>
    </row>
    <row customHeight="1" ht="12">
      <c r="A67" s="1166" t="s">
        <v>1042</v>
      </c>
      <c r="B67" s="1166"/>
      <c r="C67" s="1166"/>
      <c r="D67" s="1160"/>
      <c r="E67" s="1170"/>
      <c r="F67" s="2556"/>
      <c r="G67" s="1190"/>
      <c r="H67" s="1190"/>
      <c r="I67" s="2554" t="s">
        <v>1088</v>
      </c>
      <c r="J67" s="2554"/>
      <c r="K67" s="2554"/>
      <c r="L67" s="1173"/>
      <c r="M67" s="1173"/>
      <c r="N67" s="1174"/>
      <c r="O67" s="1174"/>
      <c r="P67" s="1174"/>
      <c r="Q67" s="1174"/>
      <c r="R67" s="1174"/>
      <c r="S67" s="1174"/>
      <c r="T67" s="1174"/>
      <c r="U67" s="1174"/>
      <c r="V67" s="1174"/>
      <c r="W67" s="1174"/>
      <c r="X67" s="1174"/>
      <c r="Y67" s="1174"/>
      <c r="Z67" s="1174"/>
      <c r="AA67" s="1174"/>
      <c r="AB67" s="1174"/>
      <c r="AC67" s="1174"/>
      <c r="AD67" s="1174"/>
      <c r="AE67" s="1174"/>
      <c r="AF67" s="1174"/>
      <c r="AG67" s="1173"/>
      <c r="AH67" s="1173"/>
      <c r="AI67" s="1174"/>
      <c r="AJ67" s="1173"/>
      <c r="AK67" s="1174"/>
      <c r="AL67" s="1985"/>
      <c r="AM67" s="1822"/>
      <c r="AN67" s="1822"/>
      <c r="AO67" s="1822"/>
      <c r="AP67" s="1822"/>
      <c r="AQ67" s="1822"/>
      <c r="AR67" s="1822"/>
      <c r="AS67" s="1822"/>
      <c r="AT67" s="1822"/>
      <c r="AU67" s="1822"/>
      <c r="AV67" s="1822"/>
      <c r="AW67" s="1822"/>
      <c r="AX67" s="1822"/>
      <c r="AY67" s="1822"/>
      <c r="AZ67" s="1822"/>
      <c r="BA67" s="1822"/>
      <c r="BB67" s="1822"/>
      <c r="BC67" s="1822"/>
      <c r="BD67" s="1822"/>
      <c r="BE67" s="1822"/>
      <c r="BF67" s="1822"/>
      <c r="BG67" s="1635"/>
    </row>
    <row customHeight="1" ht="10.5">
      <c r="E68" s="907"/>
      <c r="F68" s="918"/>
      <c r="G68" s="918"/>
      <c r="H68" s="1172"/>
      <c r="I68" s="918"/>
      <c r="J68" s="918"/>
      <c r="K68" s="918"/>
      <c r="L68" s="1131"/>
      <c r="M68" s="1131"/>
      <c r="N68" s="918"/>
      <c r="O68" s="918"/>
      <c r="P68" s="918"/>
      <c r="Q68" s="918"/>
      <c r="R68" s="918"/>
      <c r="S68" s="918"/>
      <c r="T68" s="918"/>
      <c r="U68" s="918"/>
      <c r="V68" s="918"/>
      <c r="W68" s="918"/>
      <c r="X68" s="918"/>
      <c r="Y68" s="918"/>
      <c r="Z68" s="918"/>
      <c r="AA68" s="918"/>
      <c r="AB68" s="918"/>
      <c r="AC68" s="918"/>
      <c r="AD68" s="1131"/>
      <c r="AE68" s="918"/>
      <c r="AF68" s="918"/>
      <c r="AG68" s="918"/>
      <c r="AH68" s="1149"/>
      <c r="AI68" s="1142"/>
      <c r="AJ68" s="918"/>
      <c r="AK68" s="918"/>
      <c r="AL68" s="907"/>
      <c r="AM68" s="907"/>
      <c r="AN68" s="907"/>
      <c r="AO68" s="907"/>
      <c r="AP68" s="907"/>
      <c r="AQ68" s="907"/>
      <c r="AR68" s="907"/>
      <c r="AS68" s="907"/>
      <c r="AT68" s="907"/>
      <c r="AU68" s="907"/>
      <c r="AV68" s="907"/>
      <c r="AW68" s="907"/>
      <c r="AX68" s="907"/>
      <c r="AY68" s="907"/>
      <c r="AZ68" s="907"/>
      <c r="BA68" s="907"/>
      <c r="BB68" s="907"/>
      <c r="BC68" s="907"/>
      <c r="BD68" s="907"/>
      <c r="BE68" s="907"/>
      <c r="BF68" s="907"/>
      <c r="BG68" s="758">
        <v>10</v>
      </c>
    </row>
    <row customHeight="1" ht="13.5">
      <c r="E69" s="907"/>
      <c r="F69" s="914" t="s">
        <v>1096</v>
      </c>
      <c r="G69" s="914"/>
      <c r="H69" s="1171"/>
      <c r="I69" s="914"/>
      <c r="J69" s="914"/>
      <c r="K69" s="911"/>
      <c r="L69" s="1127"/>
      <c r="M69" s="1127"/>
      <c r="N69" s="913"/>
      <c r="O69" s="913"/>
      <c r="P69" s="913"/>
      <c r="Q69" s="913"/>
      <c r="R69" s="913"/>
      <c r="S69" s="913"/>
      <c r="T69" s="913"/>
      <c r="U69" s="913"/>
      <c r="V69" s="913"/>
      <c r="W69" s="913"/>
      <c r="X69" s="913"/>
      <c r="Y69" s="913"/>
      <c r="Z69" s="911"/>
      <c r="AA69" s="911"/>
      <c r="AB69" s="911"/>
      <c r="AC69" s="911"/>
      <c r="AD69" s="1127"/>
      <c r="AE69" s="911"/>
      <c r="AF69" s="911"/>
      <c r="AG69" s="911"/>
      <c r="AH69" s="1146"/>
      <c r="AI69" s="1139"/>
      <c r="AJ69" s="911"/>
      <c r="AK69" s="911"/>
      <c r="AL69" s="907"/>
      <c r="AM69" s="907"/>
      <c r="AN69" s="907"/>
      <c r="AO69" s="907"/>
      <c r="AP69" s="907"/>
      <c r="AQ69" s="907"/>
      <c r="AR69" s="907"/>
      <c r="AS69" s="907"/>
      <c r="AT69" s="907"/>
      <c r="AU69" s="907"/>
      <c r="AV69" s="907"/>
      <c r="AW69" s="907"/>
      <c r="AX69" s="907"/>
      <c r="AY69" s="907"/>
      <c r="AZ69" s="907"/>
      <c r="BA69" s="907"/>
      <c r="BB69" s="907"/>
      <c r="BC69" s="907"/>
      <c r="BD69" s="907"/>
      <c r="BE69" s="907"/>
      <c r="BF69" s="907"/>
      <c r="BG69" s="758">
        <v>13</v>
      </c>
    </row>
    <row customHeight="1" ht="10.5">
      <c r="BG70" s="758">
        <v>10</v>
      </c>
    </row>
    <row customHeight="1" ht="10.5">
      <c r="E71" s="907"/>
      <c r="F71" s="2426"/>
      <c r="G71" s="2426"/>
      <c r="H71" s="2426"/>
      <c r="I71" s="2426"/>
      <c r="J71" s="2426"/>
      <c r="K71" s="911"/>
      <c r="L71" s="1127"/>
      <c r="M71" s="1127"/>
      <c r="N71" s="913"/>
      <c r="O71" s="913"/>
      <c r="P71" s="913"/>
      <c r="Q71" s="913"/>
      <c r="R71" s="913"/>
      <c r="S71" s="913"/>
      <c r="T71" s="913"/>
      <c r="U71" s="913"/>
      <c r="V71" s="913"/>
      <c r="W71" s="913"/>
      <c r="X71" s="913"/>
      <c r="Y71" s="913"/>
      <c r="Z71" s="911"/>
      <c r="AA71" s="911"/>
      <c r="AB71" s="911"/>
      <c r="AC71" s="911"/>
      <c r="AD71" s="1127"/>
      <c r="AE71" s="911"/>
      <c r="AF71" s="911"/>
      <c r="AG71" s="911"/>
      <c r="AH71" s="1146"/>
      <c r="AI71" s="1139"/>
      <c r="AJ71" s="911"/>
      <c r="AK71" s="911"/>
      <c r="AL71" s="907"/>
      <c r="AM71" s="907"/>
      <c r="AN71" s="907"/>
      <c r="AO71" s="907"/>
      <c r="AP71" s="907"/>
      <c r="AQ71" s="907"/>
      <c r="AR71" s="907"/>
      <c r="AS71" s="907"/>
      <c r="AT71" s="907"/>
      <c r="AU71" s="907"/>
      <c r="AV71" s="907"/>
      <c r="AW71" s="907"/>
      <c r="AX71" s="907"/>
      <c r="AY71" s="907"/>
      <c r="AZ71" s="907"/>
      <c r="BA71" s="907"/>
      <c r="BB71" s="907"/>
      <c r="BC71" s="907"/>
      <c r="BD71" s="907"/>
      <c r="BE71" s="907"/>
      <c r="BF71" s="907"/>
      <c r="BG71" s="758">
        <v>10</v>
      </c>
    </row>
    <row customHeight="1" ht="10.5">
      <c r="E72" s="907"/>
      <c r="F72" s="2426"/>
      <c r="G72" s="2426"/>
      <c r="H72" s="2426"/>
      <c r="I72" s="2426"/>
      <c r="J72" s="2426"/>
      <c r="K72" s="911"/>
      <c r="L72" s="1127"/>
      <c r="M72" s="1127"/>
      <c r="N72" s="913"/>
      <c r="O72" s="913"/>
      <c r="P72" s="913"/>
      <c r="Q72" s="913"/>
      <c r="R72" s="913"/>
      <c r="S72" s="913"/>
      <c r="T72" s="913"/>
      <c r="U72" s="913"/>
      <c r="V72" s="913"/>
      <c r="W72" s="913"/>
      <c r="X72" s="913"/>
      <c r="Y72" s="913"/>
      <c r="Z72" s="911"/>
      <c r="AA72" s="911"/>
      <c r="AB72" s="911"/>
      <c r="AC72" s="911"/>
      <c r="AD72" s="1127"/>
      <c r="AE72" s="911"/>
      <c r="AF72" s="911"/>
      <c r="AG72" s="911"/>
      <c r="AH72" s="1146"/>
      <c r="AI72" s="1139"/>
      <c r="AJ72" s="911"/>
      <c r="AK72" s="911"/>
      <c r="AL72" s="907"/>
      <c r="AM72" s="907"/>
      <c r="AN72" s="907"/>
      <c r="AO72" s="907"/>
      <c r="AP72" s="907"/>
      <c r="AQ72" s="907"/>
      <c r="AR72" s="907"/>
      <c r="AS72" s="907"/>
      <c r="AT72" s="907"/>
      <c r="AU72" s="907"/>
      <c r="AV72" s="907"/>
      <c r="AW72" s="907"/>
      <c r="AX72" s="907"/>
      <c r="AY72" s="907"/>
      <c r="AZ72" s="907"/>
      <c r="BA72" s="907"/>
      <c r="BB72" s="907"/>
      <c r="BC72" s="907"/>
      <c r="BD72" s="907"/>
      <c r="BE72" s="907"/>
      <c r="BF72" s="907"/>
      <c r="BG72" s="758">
        <v>10</v>
      </c>
    </row>
    <row customHeight="1" ht="10.5">
      <c r="E73" s="907"/>
      <c r="F73" s="2426"/>
      <c r="G73" s="2426"/>
      <c r="H73" s="2426"/>
      <c r="I73" s="2426"/>
      <c r="J73" s="2426"/>
      <c r="K73" s="911"/>
      <c r="L73" s="1127"/>
      <c r="M73" s="1127"/>
      <c r="N73" s="913"/>
      <c r="O73" s="913"/>
      <c r="P73" s="913"/>
      <c r="Q73" s="913"/>
      <c r="R73" s="913"/>
      <c r="S73" s="913"/>
      <c r="T73" s="913"/>
      <c r="U73" s="913"/>
      <c r="V73" s="913"/>
      <c r="W73" s="913"/>
      <c r="X73" s="913"/>
      <c r="Y73" s="913"/>
      <c r="Z73" s="911"/>
      <c r="AA73" s="911"/>
      <c r="AB73" s="911"/>
      <c r="AC73" s="911"/>
      <c r="AD73" s="1127"/>
      <c r="AE73" s="911"/>
      <c r="AF73" s="911"/>
      <c r="AG73" s="911"/>
      <c r="AH73" s="1146"/>
      <c r="AI73" s="1139"/>
      <c r="AJ73" s="911"/>
      <c r="AK73" s="911"/>
      <c r="AL73" s="907"/>
      <c r="AM73" s="907"/>
      <c r="AN73" s="907"/>
      <c r="AO73" s="907"/>
      <c r="AP73" s="907"/>
      <c r="AQ73" s="907"/>
      <c r="AR73" s="907"/>
      <c r="AS73" s="907"/>
      <c r="AT73" s="907"/>
      <c r="AU73" s="907"/>
      <c r="AV73" s="907"/>
      <c r="AW73" s="907"/>
      <c r="AX73" s="907"/>
      <c r="AY73" s="907"/>
      <c r="AZ73" s="907"/>
      <c r="BA73" s="907"/>
      <c r="BB73" s="907"/>
      <c r="BC73" s="907"/>
      <c r="BD73" s="907"/>
      <c r="BE73" s="907"/>
      <c r="BF73" s="907"/>
      <c r="BG73" s="758">
        <v>10</v>
      </c>
    </row>
    <row customHeight="1" ht="10.5" hidden="1">
      <c r="A74" s="895" t="s">
        <v>83</v>
      </c>
      <c r="B74" s="895">
        <v>0</v>
      </c>
      <c r="C74" s="895">
        <v>0</v>
      </c>
      <c r="D74" s="417">
        <v>0</v>
      </c>
      <c r="E74" s="509">
        <v>3</v>
      </c>
      <c r="F74" s="758">
        <v>14</v>
      </c>
      <c r="G74" s="758">
        <v>3</v>
      </c>
      <c r="H74" s="1155">
        <v>7</v>
      </c>
      <c r="I74" s="758">
        <v>16</v>
      </c>
      <c r="J74" s="758">
        <v>16</v>
      </c>
      <c r="K74" s="758">
        <v>25</v>
      </c>
      <c r="L74" s="1125">
        <v>7</v>
      </c>
      <c r="M74" s="1125">
        <v>15</v>
      </c>
      <c r="N74" s="758">
        <v>3</v>
      </c>
      <c r="O74" s="758">
        <v>4</v>
      </c>
      <c r="P74" s="758">
        <v>8</v>
      </c>
      <c r="Q74" s="758">
        <v>21</v>
      </c>
      <c r="R74" s="758">
        <v>14</v>
      </c>
      <c r="S74" s="758">
        <v>17</v>
      </c>
      <c r="T74" s="758">
        <v>17</v>
      </c>
      <c r="U74" s="758">
        <v>9</v>
      </c>
      <c r="V74" s="758">
        <v>12</v>
      </c>
      <c r="W74" s="758">
        <v>9</v>
      </c>
      <c r="X74" s="758">
        <v>21</v>
      </c>
      <c r="Y74" s="758">
        <v>12</v>
      </c>
      <c r="Z74" s="758">
        <v>3</v>
      </c>
      <c r="AA74" s="758">
        <v>6</v>
      </c>
      <c r="AB74" s="758">
        <v>38</v>
      </c>
      <c r="AC74" s="758">
        <v>15</v>
      </c>
      <c r="AD74" s="1125">
        <v>0</v>
      </c>
      <c r="AE74" s="758">
        <v>0</v>
      </c>
      <c r="AF74" s="758">
        <v>16</v>
      </c>
      <c r="AG74" s="758">
        <v>16</v>
      </c>
      <c r="AH74" s="1144">
        <v>16</v>
      </c>
      <c r="AI74" s="1137">
        <v>0</v>
      </c>
      <c r="AJ74" s="758">
        <v>0</v>
      </c>
      <c r="AK74" s="758">
        <v>0</v>
      </c>
      <c r="AL74" s="758">
        <v>8</v>
      </c>
      <c r="AM74" s="758">
        <v>8</v>
      </c>
      <c r="AN74" s="758">
        <v>8</v>
      </c>
      <c r="AO74" s="758">
        <v>8</v>
      </c>
      <c r="AP74" s="758">
        <v>8</v>
      </c>
      <c r="AQ74" s="758">
        <v>8</v>
      </c>
      <c r="AR74" s="758">
        <v>8</v>
      </c>
      <c r="AS74" s="758">
        <v>8</v>
      </c>
      <c r="AT74" s="758">
        <v>8</v>
      </c>
      <c r="AU74" s="758">
        <v>8</v>
      </c>
      <c r="AV74" s="758">
        <v>8</v>
      </c>
      <c r="AW74" s="758">
        <v>8</v>
      </c>
      <c r="AX74" s="758">
        <v>8</v>
      </c>
      <c r="AY74" s="758">
        <v>8</v>
      </c>
      <c r="AZ74" s="758">
        <v>8</v>
      </c>
      <c r="BA74" s="758">
        <v>8</v>
      </c>
      <c r="BB74" s="758">
        <v>8</v>
      </c>
      <c r="BC74" s="758">
        <v>8</v>
      </c>
      <c r="BD74" s="758">
        <v>8</v>
      </c>
      <c r="BE74" s="758">
        <v>8</v>
      </c>
      <c r="BF74" s="758">
        <v>8</v>
      </c>
      <c r="BG74" s="758">
        <v>10</v>
      </c>
    </row>
  </sheetData>
  <sheetProtection formatColumns="0" formatRows="0" autoFilter="0" sort="0" insertRows="0" insertColumns="1" deleteRows="0" deleteColumns="0"/>
  <mergeCells count="284">
    <mergeCell ref="AB9:AE10"/>
    <mergeCell ref="S11:Y11"/>
    <mergeCell ref="N10:Y10"/>
    <mergeCell ref="K9:Y9"/>
    <mergeCell ref="N11:O12"/>
    <mergeCell ref="P11:P12"/>
    <mergeCell ref="Q11:Q12"/>
    <mergeCell ref="F73:J7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72:J72"/>
    <mergeCell ref="F71:J71"/>
    <mergeCell ref="F5:K5"/>
    <mergeCell ref="P16:P18"/>
    <mergeCell ref="Q16:Q18"/>
    <mergeCell ref="R16:R18"/>
    <mergeCell ref="G15:G19"/>
    <mergeCell ref="AJ15:AJ19"/>
    <mergeCell ref="AK15:AK19"/>
    <mergeCell ref="I35:K35"/>
    <mergeCell ref="F15:F3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37:P39"/>
    <mergeCell ref="Q37:Q39"/>
    <mergeCell ref="R37:R39"/>
    <mergeCell ref="G36:G40"/>
    <mergeCell ref="AJ36:AJ40"/>
    <mergeCell ref="AK36:AK40"/>
    <mergeCell ref="I51:K51"/>
    <mergeCell ref="F36:F51"/>
    <mergeCell ref="AF36:AF40"/>
    <mergeCell ref="AG36:AG40"/>
    <mergeCell ref="AH36:AH40"/>
    <mergeCell ref="AI36:AI40"/>
    <mergeCell ref="S37:S39"/>
    <mergeCell ref="T37:T39"/>
    <mergeCell ref="U37:U39"/>
    <mergeCell ref="V37:V39"/>
    <mergeCell ref="W37:W39"/>
    <mergeCell ref="X37:X39"/>
    <mergeCell ref="Y37:Y39"/>
    <mergeCell ref="H36:H40"/>
    <mergeCell ref="I36:I40"/>
    <mergeCell ref="J36:J40"/>
    <mergeCell ref="K36:K40"/>
    <mergeCell ref="L36:L40"/>
    <mergeCell ref="M36:M40"/>
    <mergeCell ref="N37:N39"/>
    <mergeCell ref="O37:O39"/>
    <mergeCell ref="P53:P55"/>
    <mergeCell ref="Q53:Q55"/>
    <mergeCell ref="R53:R55"/>
    <mergeCell ref="G52:G56"/>
    <mergeCell ref="AJ52:AJ56"/>
    <mergeCell ref="AK52:AK56"/>
    <mergeCell ref="I67:K67"/>
    <mergeCell ref="F52:F67"/>
    <mergeCell ref="AF52:AF56"/>
    <mergeCell ref="AG52:AG56"/>
    <mergeCell ref="AH52:AH56"/>
    <mergeCell ref="AI52:AI56"/>
    <mergeCell ref="S53:S55"/>
    <mergeCell ref="T53:T55"/>
    <mergeCell ref="U53:U55"/>
    <mergeCell ref="V53:V55"/>
    <mergeCell ref="W53:W55"/>
    <mergeCell ref="X53:X55"/>
    <mergeCell ref="Y53:Y55"/>
    <mergeCell ref="H52:H56"/>
    <mergeCell ref="I52:I56"/>
    <mergeCell ref="J52:J56"/>
    <mergeCell ref="K52:K56"/>
    <mergeCell ref="L52:L56"/>
    <mergeCell ref="M52:M56"/>
    <mergeCell ref="N53:N55"/>
    <mergeCell ref="O53:O55"/>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7:H61"/>
    <mergeCell ref="I57:I61"/>
    <mergeCell ref="J57:J61"/>
    <mergeCell ref="K57:K61"/>
    <mergeCell ref="L57:L61"/>
    <mergeCell ref="M57:M61"/>
    <mergeCell ref="AF57:AF61"/>
    <mergeCell ref="AG57:AG61"/>
    <mergeCell ref="AH57:AH61"/>
    <mergeCell ref="AI57:AI61"/>
    <mergeCell ref="AJ57:AJ61"/>
    <mergeCell ref="AK57:AK61"/>
    <mergeCell ref="N58:N60"/>
    <mergeCell ref="O58:O60"/>
    <mergeCell ref="P58:P60"/>
    <mergeCell ref="Q58:Q60"/>
    <mergeCell ref="R58:R60"/>
    <mergeCell ref="S58:S60"/>
    <mergeCell ref="T58:T60"/>
    <mergeCell ref="U58:U60"/>
    <mergeCell ref="V58:V60"/>
    <mergeCell ref="W58:W60"/>
    <mergeCell ref="X58:X60"/>
    <mergeCell ref="Y58:Y60"/>
    <mergeCell ref="G57:G61"/>
    <mergeCell ref="H62:H66"/>
    <mergeCell ref="I62:I66"/>
    <mergeCell ref="J62:J66"/>
    <mergeCell ref="K62:K66"/>
    <mergeCell ref="L62:L66"/>
    <mergeCell ref="M62:M66"/>
    <mergeCell ref="AF62:AF66"/>
    <mergeCell ref="AG62:AG66"/>
    <mergeCell ref="AH62:AH66"/>
    <mergeCell ref="AI62:AI66"/>
    <mergeCell ref="AJ62:AJ66"/>
    <mergeCell ref="AK62:AK66"/>
    <mergeCell ref="N63:N65"/>
    <mergeCell ref="O63:O65"/>
    <mergeCell ref="P63:P65"/>
    <mergeCell ref="Q63:Q65"/>
    <mergeCell ref="R63:R65"/>
    <mergeCell ref="S63:S65"/>
    <mergeCell ref="T63:T65"/>
    <mergeCell ref="U63:U65"/>
    <mergeCell ref="V63:V65"/>
    <mergeCell ref="W63:W65"/>
    <mergeCell ref="X63:X65"/>
    <mergeCell ref="Y63:Y65"/>
    <mergeCell ref="G62:G66"/>
  </mergeCells>
  <dataValidations count="25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textLength" operator="lessThanOrEqual" allowBlank="1" showInputMessage="1" showErrorMessage="1" errorTitle="Ошибка" error="Допускается ввод не более 900 символов!" sqref="M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textLength" operator="lessThanOrEqual" allowBlank="1" showInputMessage="1" showErrorMessage="1" errorTitle="Ошибка" error="Допускается ввод не более 900 символов!" sqref="M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textLength" operator="lessThanOrEqual" allowBlank="1" showInputMessage="1" showErrorMessage="1" errorTitle="Ошибка" error="Допускается ввод не более 900 символов!" sqref="M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textLength" operator="lessThanOrEqual" allowBlank="1" showInputMessage="1" showErrorMessage="1" errorTitle="Ошибка" error="Допускается ввод не более 900 символов!" sqref="M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311B8-9B08-97F8-6348-578FC62362F4}" mc:Ignorable="x14ac xr xr2 xr3">
  <sheetPr>
    <tabColor theme="9" tint="-0.25"/>
  </sheetPr>
  <dimension ref="A1:AB59"/>
  <sheetViews>
    <sheetView showGridLines="0" zoomScale="85" workbookViewId="0">
      <pane xSplit="9" ySplit="13" topLeftCell="J14" activePane="bottomRight" state="frozen"/>
      <selection pane="bottomLeft" activeCell="A14" sqref="A14"/>
      <selection pane="topRight" activeCell="J1" sqref="J1"/>
      <selection pane="bottomRight" activeCell="N1" sqref="N1:N1048576"/>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4" style="1635" width="21.7109375" hidden="1" customWidth="1"/>
    <col min="15" max="15" style="1635" width="0.140625" customWidth="1"/>
    <col min="16" max="16" style="1635" width="1.00390625" customWidth="1"/>
    <col min="17" max="27" style="1635" width="8.00390625" customWidth="1"/>
    <col min="28" max="28" style="1635" width="9.140625" hidden="1"/>
  </cols>
  <sheetData>
    <row s="1366" customFormat="1" customHeight="1" ht="10.5" hidden="1">
      <c r="A1" s="1166"/>
      <c r="B1" s="1166"/>
      <c r="C1" s="1166"/>
      <c r="E1" s="537"/>
      <c r="K1" s="1366"/>
      <c r="L1" s="1366"/>
      <c r="M1" s="1366"/>
      <c r="N1" s="1366"/>
      <c r="O1" s="1366"/>
      <c r="AB1" s="1160" t="s">
        <v>14</v>
      </c>
    </row>
    <row customHeight="1" ht="10.5" hidden="1">
      <c r="K2" s="1635"/>
      <c r="L2" s="1635"/>
      <c r="M2" s="1635"/>
      <c r="N2" s="1635"/>
      <c r="O2" s="1635"/>
      <c r="AB2" s="1155">
        <v>0</v>
      </c>
    </row>
    <row s="1632" customFormat="1" customHeight="1" ht="10.5" hidden="1">
      <c r="A3" s="1166"/>
      <c r="B3" s="1166"/>
      <c r="C3" s="1166"/>
      <c r="D3" s="1160"/>
      <c r="E3" s="362"/>
      <c r="K3" s="1632"/>
      <c r="L3" s="1632"/>
      <c r="M3" s="1632"/>
      <c r="N3" s="1632"/>
      <c r="O3" s="1632"/>
      <c r="AB3" s="1156">
        <v>0</v>
      </c>
    </row>
    <row customHeight="1" ht="3">
      <c r="K4" s="1635"/>
      <c r="L4" s="1635"/>
      <c r="M4" s="1635"/>
      <c r="N4" s="1635"/>
      <c r="O4" s="1635"/>
      <c r="AB4" s="1155">
        <v>3</v>
      </c>
    </row>
    <row customHeight="1" ht="27.299999999999997">
      <c r="F5" s="22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7"/>
      <c r="H5" s="2267"/>
      <c r="I5" s="2267"/>
      <c r="J5" s="2267"/>
      <c r="K5" s="2267"/>
      <c r="L5" s="2267"/>
      <c r="M5" s="2267"/>
      <c r="N5" s="2267"/>
      <c r="O5" s="2267"/>
      <c r="AB5" s="1155">
        <v>26</v>
      </c>
    </row>
    <row customHeight="1" ht="10.5">
      <c r="F6" s="2195" t="str">
        <f>IF(org=0,"Не определено",org)</f>
        <v>Муниципальное унитарное предприятие "Невельские коммунальные сети"</v>
      </c>
      <c r="G6" s="2195"/>
      <c r="H6" s="2195"/>
      <c r="I6" s="2195"/>
      <c r="J6" s="2195"/>
      <c r="K6" s="2268"/>
      <c r="L6" s="2268"/>
      <c r="M6" s="2268"/>
      <c r="N6" s="2268"/>
      <c r="O6" s="2268"/>
      <c r="AB6" s="1155">
        <v>10</v>
      </c>
    </row>
    <row customHeight="1" ht="11.549999999999999">
      <c r="E7" s="1170"/>
      <c r="F7" s="1227"/>
      <c r="G7" s="1227"/>
      <c r="H7" s="1227"/>
      <c r="I7" s="1227"/>
      <c r="J7" s="1227"/>
      <c r="K7" s="1227" t="s">
        <v>22</v>
      </c>
      <c r="L7" s="1227"/>
      <c r="M7" s="1227" t="s">
        <v>22</v>
      </c>
      <c r="N7" s="1227" t="s">
        <v>22</v>
      </c>
      <c r="O7" s="1227"/>
      <c r="P7" s="1157"/>
      <c r="Q7" s="1157"/>
      <c r="R7" s="1157"/>
      <c r="S7" s="1157"/>
      <c r="T7" s="1157"/>
      <c r="U7" s="1157"/>
      <c r="V7" s="1157"/>
      <c r="W7" s="1157"/>
      <c r="X7" s="1157"/>
      <c r="Y7" s="1157"/>
      <c r="Z7" s="1157"/>
      <c r="AA7" s="1157"/>
      <c r="AB7" s="1155">
        <v>11</v>
      </c>
    </row>
    <row s="1642" customFormat="1" customHeight="1" ht="4.2">
      <c r="A8" s="1167"/>
      <c r="B8" s="1167"/>
      <c r="C8" s="1167"/>
      <c r="E8" s="1228"/>
      <c r="F8" s="1229"/>
      <c r="G8" s="1229"/>
      <c r="H8" s="1229"/>
      <c r="I8" s="1229"/>
      <c r="J8" s="1229"/>
      <c r="K8" s="1229" t="s">
        <v>1042</v>
      </c>
      <c r="L8" s="1229"/>
      <c r="M8" s="1229"/>
      <c r="N8" s="1229"/>
      <c r="O8" s="1229"/>
      <c r="P8" s="1228"/>
      <c r="Q8" s="1228"/>
      <c r="R8" s="1228"/>
      <c r="S8" s="1228"/>
      <c r="T8" s="1228"/>
      <c r="U8" s="1228"/>
      <c r="V8" s="1228"/>
      <c r="W8" s="1228"/>
      <c r="X8" s="1228"/>
      <c r="Y8" s="1228"/>
      <c r="Z8" s="1228"/>
      <c r="AA8" s="1228"/>
      <c r="AB8" s="511">
        <v>4</v>
      </c>
    </row>
    <row customHeight="1" ht="10.5">
      <c r="E9" s="1170"/>
      <c r="F9" s="2438" t="s">
        <v>305</v>
      </c>
      <c r="G9" s="2439"/>
      <c r="H9" s="2439"/>
      <c r="I9" s="2439"/>
      <c r="J9" s="2439"/>
      <c r="K9" s="2439"/>
      <c r="L9" s="2439"/>
      <c r="M9" s="2439"/>
      <c r="N9" s="2439"/>
      <c r="O9" s="2439"/>
      <c r="P9" s="1240"/>
      <c r="Q9" s="1157"/>
      <c r="R9" s="1157"/>
      <c r="S9" s="1157"/>
      <c r="T9" s="1157"/>
      <c r="U9" s="1157"/>
      <c r="V9" s="1157"/>
      <c r="W9" s="1157"/>
      <c r="X9" s="1157"/>
      <c r="Y9" s="1157"/>
      <c r="Z9" s="1157"/>
      <c r="AA9" s="1157"/>
      <c r="AB9" s="1155">
        <v>10</v>
      </c>
    </row>
    <row customHeight="1" ht="25.2">
      <c r="E10" s="1157"/>
      <c r="F10" s="2442" t="s">
        <v>89</v>
      </c>
      <c r="G10" s="2447" t="s">
        <v>1097</v>
      </c>
      <c r="H10" s="2445" t="s">
        <v>1098</v>
      </c>
      <c r="I10" s="2445"/>
      <c r="J10" s="2445"/>
      <c r="K10" s="2445" t="s">
        <v>1098</v>
      </c>
      <c r="L10" s="2445"/>
      <c r="M10" s="2445"/>
      <c r="N10" s="2445"/>
      <c r="O10" s="2445"/>
      <c r="P10" s="1233"/>
      <c r="Q10" s="1157"/>
      <c r="R10" s="1157"/>
      <c r="S10" s="1157"/>
      <c r="T10" s="1157"/>
      <c r="U10" s="1157"/>
      <c r="V10" s="1157"/>
      <c r="W10" s="1157"/>
      <c r="X10" s="1157"/>
      <c r="Y10" s="1157"/>
      <c r="Z10" s="1157"/>
      <c r="AA10" s="1157"/>
      <c r="AB10" s="1155">
        <v>24</v>
      </c>
    </row>
    <row customHeight="1" ht="25.5">
      <c r="E11" s="1157"/>
      <c r="F11" s="2443"/>
      <c r="G11" s="2447"/>
      <c r="H11" s="2446">
        <f>INDEX(IP_MAIN_LIST_NAME_IP,MATCH(H8,IP_MAIN_LIST_IP_ID,0))&amp;" ("&amp;INDEX(IP_MAIN_START_DATE,MATCH(H8,IP_MAIN_LIST_IP_ID,0))&amp;"-"&amp;INDEX(IP_MAIN_END_DATE,MATCH(H8,IP_MAIN_LIST_IP_ID,0))&amp;")"</f>
      </c>
      <c r="I11" s="2446"/>
      <c r="J11" s="2446"/>
      <c r="K11" s="2446" t="str">
        <f>INDEX(IP_MAIN_LIST_NAME_IP,MATCH(K8,IP_MAIN_LIST_IP_ID,0))&amp;" ("&amp;INDEX(IP_MAIN_START_DATE,MATCH(K8,IP_MAIN_LIST_IP_ID,0))&amp;"-"&amp;INDEX(IP_MAIN_END_DATE,MATCH(K8,IP_MAIN_LIST_IP_ID,0))&amp;")"</f>
        <v>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 (01.01.2024-31.12.2026)</v>
      </c>
      <c r="L11" s="2446"/>
      <c r="M11" s="2446"/>
      <c r="N11" s="2446"/>
      <c r="O11" s="2446"/>
      <c r="P11" s="1233"/>
      <c r="Q11" s="1157"/>
      <c r="R11" s="1157"/>
      <c r="S11" s="1157"/>
      <c r="T11" s="1157"/>
      <c r="U11" s="1157"/>
      <c r="V11" s="1157"/>
      <c r="W11" s="1157"/>
      <c r="X11" s="1157"/>
      <c r="Y11" s="1157"/>
      <c r="Z11" s="1157"/>
      <c r="AA11" s="1157"/>
      <c r="AB11" s="1155">
        <v>24</v>
      </c>
    </row>
    <row customHeight="1" ht="10.5">
      <c r="F12" s="2444"/>
      <c r="G12" s="2447"/>
      <c r="H12" s="1226" t="s">
        <v>1099</v>
      </c>
      <c r="I12" s="1232"/>
      <c r="J12" s="1226"/>
      <c r="K12" s="2447" t="s">
        <v>1099</v>
      </c>
      <c r="L12" s="1232">
        <v>2024</v>
      </c>
      <c r="M12" s="1232">
        <v>2025</v>
      </c>
      <c r="N12" s="1232">
        <v>2026</v>
      </c>
      <c r="O12" s="2447"/>
      <c r="P12" s="1234"/>
      <c r="AB12" s="1155">
        <v>10</v>
      </c>
    </row>
    <row customHeight="1" ht="10.5" hidden="1">
      <c r="F13" s="1226">
        <v>1</v>
      </c>
      <c r="G13" s="1226">
        <v>2</v>
      </c>
      <c r="H13" s="1226">
        <v>3</v>
      </c>
      <c r="I13" s="1226">
        <v>4</v>
      </c>
      <c r="J13" s="1226">
        <v>5</v>
      </c>
      <c r="K13" s="2447">
        <v>3</v>
      </c>
      <c r="L13" s="2447">
        <v>4</v>
      </c>
      <c r="M13" s="2447">
        <v>4</v>
      </c>
      <c r="N13" s="2447">
        <v>4</v>
      </c>
      <c r="O13" s="2447">
        <v>5</v>
      </c>
      <c r="P13" s="1234"/>
      <c r="AB13" s="1155">
        <v>0</v>
      </c>
    </row>
    <row customHeight="1" ht="11.549999999999999">
      <c r="F14" s="1225" t="s">
        <v>1100</v>
      </c>
      <c r="G14" s="2440" t="s">
        <v>1101</v>
      </c>
      <c r="H14" s="2440"/>
      <c r="I14" s="2440"/>
      <c r="J14" s="2440"/>
      <c r="K14" s="2440"/>
      <c r="L14" s="2440"/>
      <c r="M14" s="2440"/>
      <c r="N14" s="2440"/>
      <c r="O14" s="2440"/>
      <c r="P14" s="1234"/>
      <c r="AB14" s="1155">
        <v>11</v>
      </c>
    </row>
    <row customHeight="1" ht="11.549999999999999">
      <c r="F15" s="1230">
        <v>1</v>
      </c>
      <c r="G15" s="690" t="s">
        <v>1102</v>
      </c>
      <c r="H15" s="1236">
        <f>SUM(I15:J15)</f>
        <v>0</v>
      </c>
      <c r="I15" s="1236">
        <f>SUM(I16:I27)</f>
        <v>0</v>
      </c>
      <c r="J15" s="1225"/>
      <c r="K15" s="1236">
        <f>SUM(L15:O15)</f>
        <v>0</v>
      </c>
      <c r="L15" s="1236">
        <f>SUM(L16:L27)</f>
        <v>0</v>
      </c>
      <c r="M15" s="1236">
        <f>SUM(M16:M27)</f>
        <v>0</v>
      </c>
      <c r="N15" s="1236">
        <f>SUM(N16:N27)</f>
        <v>0</v>
      </c>
      <c r="O15" s="2445"/>
      <c r="P15" s="1234"/>
      <c r="AB15" s="1155">
        <v>11</v>
      </c>
    </row>
    <row customHeight="1" ht="24">
      <c r="F16" s="1230" t="s">
        <v>1103</v>
      </c>
      <c r="G16" s="1237" t="s">
        <v>1104</v>
      </c>
      <c r="H16" s="1236">
        <f>SUM(I16:J16)</f>
        <v>0</v>
      </c>
      <c r="I16" s="1235"/>
      <c r="J16" s="1225"/>
      <c r="K16" s="1236">
        <f>SUM(L16:O16)</f>
        <v>0</v>
      </c>
      <c r="L16" s="1235"/>
      <c r="M16" s="1235"/>
      <c r="N16" s="1235"/>
      <c r="O16" s="2445"/>
      <c r="P16" s="1234"/>
      <c r="AB16" s="1155">
        <v>23</v>
      </c>
    </row>
    <row customHeight="1" ht="24">
      <c r="F17" s="1230" t="s">
        <v>1105</v>
      </c>
      <c r="G17" s="1237" t="s">
        <v>1106</v>
      </c>
      <c r="H17" s="1236">
        <f>SUM(I17:J17)</f>
        <v>0</v>
      </c>
      <c r="I17" s="1235"/>
      <c r="J17" s="1225"/>
      <c r="K17" s="1236">
        <f>SUM(L17:O17)</f>
        <v>0</v>
      </c>
      <c r="L17" s="1235"/>
      <c r="M17" s="1235"/>
      <c r="N17" s="1235"/>
      <c r="O17" s="2445"/>
      <c r="P17" s="1234"/>
      <c r="AB17" s="1155">
        <v>23</v>
      </c>
    </row>
    <row customHeight="1" ht="35.699999999999996">
      <c r="F18" s="1230" t="s">
        <v>1107</v>
      </c>
      <c r="G18" s="1237" t="s">
        <v>1108</v>
      </c>
      <c r="H18" s="1236">
        <f>SUM(I18:J18)</f>
        <v>0</v>
      </c>
      <c r="I18" s="1235"/>
      <c r="J18" s="1225"/>
      <c r="K18" s="1236">
        <f>SUM(L18:O18)</f>
        <v>0</v>
      </c>
      <c r="L18" s="1235"/>
      <c r="M18" s="1235"/>
      <c r="N18" s="1235"/>
      <c r="O18" s="2445"/>
      <c r="P18" s="1234"/>
      <c r="AB18" s="1155">
        <v>34</v>
      </c>
    </row>
    <row customHeight="1" ht="35.699999999999996">
      <c r="F19" s="1230" t="s">
        <v>1109</v>
      </c>
      <c r="G19" s="1237" t="s">
        <v>1110</v>
      </c>
      <c r="H19" s="1236">
        <f>SUM(I19:J19)</f>
        <v>0</v>
      </c>
      <c r="I19" s="1235"/>
      <c r="J19" s="1225"/>
      <c r="K19" s="1236">
        <f>SUM(L19:O19)</f>
        <v>0</v>
      </c>
      <c r="L19" s="1235"/>
      <c r="M19" s="1235"/>
      <c r="N19" s="1235"/>
      <c r="O19" s="2445"/>
      <c r="P19" s="1234"/>
      <c r="AB19" s="1155">
        <v>34</v>
      </c>
    </row>
    <row customHeight="1" ht="48.29999999999999">
      <c r="F20" s="1230" t="s">
        <v>1111</v>
      </c>
      <c r="G20" s="1237" t="s">
        <v>1112</v>
      </c>
      <c r="H20" s="1236">
        <f>SUM(I20:J20)</f>
        <v>0</v>
      </c>
      <c r="I20" s="1235"/>
      <c r="J20" s="1225"/>
      <c r="K20" s="1236">
        <f>SUM(L20:O20)</f>
        <v>0</v>
      </c>
      <c r="L20" s="1235"/>
      <c r="M20" s="1235"/>
      <c r="N20" s="1235"/>
      <c r="O20" s="2445"/>
      <c r="P20" s="1234"/>
      <c r="AB20" s="1155">
        <v>46</v>
      </c>
    </row>
    <row customHeight="1" ht="35.699999999999996">
      <c r="F21" s="1230" t="s">
        <v>1113</v>
      </c>
      <c r="G21" s="1237" t="s">
        <v>1114</v>
      </c>
      <c r="H21" s="1236">
        <f>SUM(I21:J21)</f>
        <v>0</v>
      </c>
      <c r="I21" s="1235"/>
      <c r="J21" s="1225"/>
      <c r="K21" s="1236">
        <f>SUM(L21:O21)</f>
        <v>0</v>
      </c>
      <c r="L21" s="1235"/>
      <c r="M21" s="1235"/>
      <c r="N21" s="1235"/>
      <c r="O21" s="2445"/>
      <c r="P21" s="1234"/>
      <c r="AB21" s="1155">
        <v>34</v>
      </c>
    </row>
    <row customHeight="1" ht="35.699999999999996">
      <c r="F22" s="1230" t="s">
        <v>1115</v>
      </c>
      <c r="G22" s="1237" t="s">
        <v>1116</v>
      </c>
      <c r="H22" s="1236">
        <f>SUM(I22:J22)</f>
        <v>0</v>
      </c>
      <c r="I22" s="1235"/>
      <c r="J22" s="1225"/>
      <c r="K22" s="1236">
        <f>SUM(L22:O22)</f>
        <v>0</v>
      </c>
      <c r="L22" s="1235"/>
      <c r="M22" s="1235"/>
      <c r="N22" s="1235"/>
      <c r="O22" s="2445"/>
      <c r="P22" s="1234"/>
      <c r="AB22" s="1155">
        <v>34</v>
      </c>
    </row>
    <row customHeight="1" ht="24">
      <c r="F23" s="1230" t="s">
        <v>1117</v>
      </c>
      <c r="G23" s="1237" t="s">
        <v>1118</v>
      </c>
      <c r="H23" s="1236">
        <f>SUM(I23:J23)</f>
        <v>0</v>
      </c>
      <c r="I23" s="1235"/>
      <c r="J23" s="1225"/>
      <c r="K23" s="1236">
        <f>SUM(L23:O23)</f>
        <v>0</v>
      </c>
      <c r="L23" s="1235"/>
      <c r="M23" s="1235"/>
      <c r="N23" s="1235"/>
      <c r="O23" s="2445"/>
      <c r="P23" s="1234"/>
      <c r="AB23" s="1155">
        <v>23</v>
      </c>
    </row>
    <row customHeight="1" ht="24">
      <c r="F24" s="1230" t="s">
        <v>1119</v>
      </c>
      <c r="G24" s="1237" t="s">
        <v>1120</v>
      </c>
      <c r="H24" s="1236">
        <f>SUM(I24:J24)</f>
        <v>0</v>
      </c>
      <c r="I24" s="1235"/>
      <c r="J24" s="1225"/>
      <c r="K24" s="1236">
        <f>SUM(L24:O24)</f>
        <v>0</v>
      </c>
      <c r="L24" s="1235"/>
      <c r="M24" s="1235"/>
      <c r="N24" s="1235"/>
      <c r="O24" s="2445"/>
      <c r="P24" s="1234"/>
      <c r="AB24" s="1155">
        <v>23</v>
      </c>
    </row>
    <row customHeight="1" ht="35.699999999999996">
      <c r="F25" s="1230" t="s">
        <v>1121</v>
      </c>
      <c r="G25" s="1237" t="s">
        <v>1122</v>
      </c>
      <c r="H25" s="1236">
        <f>SUM(I25:J25)</f>
        <v>0</v>
      </c>
      <c r="I25" s="1235"/>
      <c r="J25" s="1225"/>
      <c r="K25" s="1236">
        <f>SUM(L25:O25)</f>
        <v>0</v>
      </c>
      <c r="L25" s="1235"/>
      <c r="M25" s="1235"/>
      <c r="N25" s="1235"/>
      <c r="O25" s="2445"/>
      <c r="P25" s="1234"/>
      <c r="AB25" s="1155">
        <v>34</v>
      </c>
    </row>
    <row customHeight="1" ht="35.699999999999996">
      <c r="F26" s="1230" t="s">
        <v>1123</v>
      </c>
      <c r="G26" s="1237" t="s">
        <v>1124</v>
      </c>
      <c r="H26" s="1236">
        <f>SUM(I26:J26)</f>
        <v>0</v>
      </c>
      <c r="I26" s="1235"/>
      <c r="J26" s="1225"/>
      <c r="K26" s="1236">
        <f>SUM(L26:O26)</f>
        <v>0</v>
      </c>
      <c r="L26" s="1235"/>
      <c r="M26" s="1235"/>
      <c r="N26" s="1235"/>
      <c r="O26" s="2445"/>
      <c r="P26" s="1234"/>
      <c r="AB26" s="1155">
        <v>34</v>
      </c>
    </row>
    <row customHeight="1" ht="11.549999999999999">
      <c r="F27" s="1230" t="s">
        <v>1125</v>
      </c>
      <c r="G27" s="1237" t="s">
        <v>1126</v>
      </c>
      <c r="H27" s="1236">
        <f>SUM(I27:J27)</f>
        <v>0</v>
      </c>
      <c r="I27" s="1235"/>
      <c r="J27" s="1225"/>
      <c r="K27" s="1236">
        <f>SUM(L27:O27)</f>
        <v>0</v>
      </c>
      <c r="L27" s="1235"/>
      <c r="M27" s="1235"/>
      <c r="N27" s="1235"/>
      <c r="O27" s="2445"/>
      <c r="P27" s="1234"/>
      <c r="AB27" s="1155">
        <v>11</v>
      </c>
    </row>
    <row customHeight="1" ht="11.549999999999999">
      <c r="F28" s="1230">
        <v>2</v>
      </c>
      <c r="G28" s="690" t="s">
        <v>1127</v>
      </c>
      <c r="H28" s="1236">
        <f>SUM(I28:J28)</f>
        <v>0</v>
      </c>
      <c r="I28" s="1236">
        <f>SUM(I29:I31)</f>
        <v>0</v>
      </c>
      <c r="J28" s="1225"/>
      <c r="K28" s="1236">
        <f>SUM(L28:O28)</f>
        <v>0</v>
      </c>
      <c r="L28" s="1236">
        <f>SUM(L29:L31)</f>
        <v>0</v>
      </c>
      <c r="M28" s="1236">
        <f>SUM(M29:M31)</f>
        <v>0</v>
      </c>
      <c r="N28" s="1236">
        <f>SUM(N29:N31)</f>
        <v>0</v>
      </c>
      <c r="O28" s="2445"/>
      <c r="P28" s="1234"/>
      <c r="AB28" s="1155">
        <v>11</v>
      </c>
    </row>
    <row customHeight="1" ht="11.549999999999999">
      <c r="F29" s="1230" t="s">
        <v>734</v>
      </c>
      <c r="G29" s="1237" t="s">
        <v>1128</v>
      </c>
      <c r="H29" s="1236">
        <f>SUM(I29:J29)</f>
        <v>0</v>
      </c>
      <c r="I29" s="1235"/>
      <c r="J29" s="1225"/>
      <c r="K29" s="1236">
        <f>SUM(L29:O29)</f>
        <v>0</v>
      </c>
      <c r="L29" s="1235"/>
      <c r="M29" s="1235"/>
      <c r="N29" s="1235"/>
      <c r="O29" s="2445"/>
      <c r="P29" s="1234"/>
      <c r="AB29" s="1155">
        <v>11</v>
      </c>
    </row>
    <row customHeight="1" ht="11.549999999999999">
      <c r="F30" s="1230" t="s">
        <v>312</v>
      </c>
      <c r="G30" s="1237" t="s">
        <v>1129</v>
      </c>
      <c r="H30" s="1236">
        <f>SUM(I30:J30)</f>
        <v>0</v>
      </c>
      <c r="I30" s="1235"/>
      <c r="J30" s="1225"/>
      <c r="K30" s="1236">
        <f>SUM(L30:O30)</f>
        <v>0</v>
      </c>
      <c r="L30" s="1235"/>
      <c r="M30" s="1235"/>
      <c r="N30" s="1235"/>
      <c r="O30" s="2445"/>
      <c r="P30" s="1234"/>
      <c r="AB30" s="1155">
        <v>11</v>
      </c>
    </row>
    <row customHeight="1" ht="11.549999999999999">
      <c r="F31" s="1230" t="s">
        <v>315</v>
      </c>
      <c r="G31" s="1237" t="s">
        <v>1130</v>
      </c>
      <c r="H31" s="1236">
        <f>SUM(I31:J31)</f>
        <v>0</v>
      </c>
      <c r="I31" s="1235"/>
      <c r="J31" s="1225"/>
      <c r="K31" s="1236">
        <f>SUM(L31:O31)</f>
        <v>0</v>
      </c>
      <c r="L31" s="1235"/>
      <c r="M31" s="1235"/>
      <c r="N31" s="1235"/>
      <c r="O31" s="2445"/>
      <c r="P31" s="1234"/>
      <c r="AB31" s="1155">
        <v>11</v>
      </c>
    </row>
    <row customHeight="1" ht="11.549999999999999">
      <c r="F32" s="1230">
        <v>3</v>
      </c>
      <c r="G32" s="690" t="s">
        <v>1131</v>
      </c>
      <c r="H32" s="1236">
        <f>SUM(I32:J32)</f>
        <v>0</v>
      </c>
      <c r="I32" s="1236">
        <f>SUM(I33:I34)</f>
        <v>0</v>
      </c>
      <c r="J32" s="1225"/>
      <c r="K32" s="1236">
        <f>SUM(L32:O32)</f>
        <v>0</v>
      </c>
      <c r="L32" s="1236">
        <f>SUM(L33:L34)</f>
        <v>0</v>
      </c>
      <c r="M32" s="1236">
        <f>SUM(M33:M34)</f>
        <v>0</v>
      </c>
      <c r="N32" s="1236">
        <f>SUM(N33:N34)</f>
        <v>0</v>
      </c>
      <c r="O32" s="2445"/>
      <c r="P32" s="1234"/>
      <c r="AB32" s="1155">
        <v>11</v>
      </c>
    </row>
    <row customHeight="1" ht="48.29999999999999">
      <c r="F33" s="1230" t="s">
        <v>329</v>
      </c>
      <c r="G33" s="1237" t="s">
        <v>1132</v>
      </c>
      <c r="H33" s="1236">
        <f>SUM(I33:J33)</f>
        <v>0</v>
      </c>
      <c r="I33" s="1235"/>
      <c r="J33" s="1225"/>
      <c r="K33" s="1236">
        <f>SUM(L33:O33)</f>
        <v>0</v>
      </c>
      <c r="L33" s="1235"/>
      <c r="M33" s="1235"/>
      <c r="N33" s="1235"/>
      <c r="O33" s="2445"/>
      <c r="P33" s="1234"/>
      <c r="AB33" s="1155">
        <v>46</v>
      </c>
    </row>
    <row customHeight="1" ht="11.549999999999999">
      <c r="F34" s="1230" t="s">
        <v>337</v>
      </c>
      <c r="G34" s="1237" t="s">
        <v>1133</v>
      </c>
      <c r="H34" s="1236">
        <f>SUM(I34:J34)</f>
        <v>0</v>
      </c>
      <c r="I34" s="1235"/>
      <c r="J34" s="1225"/>
      <c r="K34" s="1236">
        <f>SUM(L34:O34)</f>
        <v>0</v>
      </c>
      <c r="L34" s="1235"/>
      <c r="M34" s="1235"/>
      <c r="N34" s="1235"/>
      <c r="O34" s="2445"/>
      <c r="P34" s="1234"/>
      <c r="AB34" s="1155">
        <v>11</v>
      </c>
    </row>
    <row customHeight="1" ht="11.549999999999999">
      <c r="F35" s="1230">
        <v>4</v>
      </c>
      <c r="G35" s="690" t="s">
        <v>1134</v>
      </c>
      <c r="H35" s="1236">
        <f>SUM(I35:J35)</f>
        <v>0</v>
      </c>
      <c r="I35" s="1235"/>
      <c r="J35" s="1225"/>
      <c r="K35" s="1236">
        <f>SUM(L35:O35)</f>
        <v>0</v>
      </c>
      <c r="L35" s="1235"/>
      <c r="M35" s="1235"/>
      <c r="N35" s="1235"/>
      <c r="O35" s="2445"/>
      <c r="P35" s="1234"/>
      <c r="AB35" s="1155">
        <v>11</v>
      </c>
    </row>
    <row customHeight="1" ht="11.549999999999999">
      <c r="F36" s="1230"/>
      <c r="G36" s="693" t="s">
        <v>1135</v>
      </c>
      <c r="H36" s="1236">
        <f>SUM(I36:J36)</f>
        <v>0</v>
      </c>
      <c r="I36" s="1236">
        <f>SUM(I15,I28,I32,I35)</f>
        <v>0</v>
      </c>
      <c r="J36" s="1225"/>
      <c r="K36" s="1236">
        <f>SUM(L36:O36)</f>
        <v>0</v>
      </c>
      <c r="L36" s="1236">
        <f>SUM(L15,L28,L32,L35)</f>
        <v>0</v>
      </c>
      <c r="M36" s="1236">
        <f>SUM(M15,M28,M32,M35)</f>
        <v>0</v>
      </c>
      <c r="N36" s="1236">
        <f>SUM(N15,N28,N32,N35)</f>
        <v>0</v>
      </c>
      <c r="O36" s="2445"/>
      <c r="P36" s="1234"/>
      <c r="AB36" s="1155">
        <v>11</v>
      </c>
    </row>
    <row customHeight="1" ht="29.25">
      <c r="F37" s="1231" t="s">
        <v>1136</v>
      </c>
      <c r="G37" s="2441" t="s">
        <v>1137</v>
      </c>
      <c r="H37" s="2441"/>
      <c r="I37" s="2441"/>
      <c r="J37" s="2441"/>
      <c r="K37" s="2441"/>
      <c r="L37" s="2441"/>
      <c r="M37" s="2441"/>
      <c r="N37" s="2441"/>
      <c r="O37" s="2441"/>
      <c r="P37" s="1234"/>
      <c r="AB37" s="1155">
        <v>28</v>
      </c>
    </row>
    <row customHeight="1" ht="24">
      <c r="F38" s="1230" t="s">
        <v>110</v>
      </c>
      <c r="G38" s="690" t="s">
        <v>1138</v>
      </c>
      <c r="H38" s="1236">
        <f>SUM(I38:J38)</f>
        <v>0</v>
      </c>
      <c r="I38" s="1236">
        <f>SUM(I39,I44,I47)</f>
        <v>0</v>
      </c>
      <c r="J38" s="1225"/>
      <c r="K38" s="1236">
        <f>SUM(L38:O38)</f>
        <v>0</v>
      </c>
      <c r="L38" s="1236">
        <f>SUM(L39,L44,L47)</f>
        <v>0</v>
      </c>
      <c r="M38" s="1236">
        <f>SUM(M39,M44,M47)</f>
        <v>0</v>
      </c>
      <c r="N38" s="1236">
        <f>SUM(N39,N44,N47)</f>
        <v>0</v>
      </c>
      <c r="O38" s="2445"/>
      <c r="P38" s="1234"/>
      <c r="AB38" s="1155">
        <v>23</v>
      </c>
    </row>
    <row customHeight="1" ht="11.549999999999999">
      <c r="F39" s="1230" t="s">
        <v>1103</v>
      </c>
      <c r="G39" s="1237" t="s">
        <v>1102</v>
      </c>
      <c r="H39" s="1236">
        <f>SUM(I39:J39)</f>
        <v>0</v>
      </c>
      <c r="I39" s="1236">
        <f>SUM(I40:I43)</f>
        <v>0</v>
      </c>
      <c r="J39" s="1225"/>
      <c r="K39" s="1236">
        <f>SUM(L39:O39)</f>
        <v>0</v>
      </c>
      <c r="L39" s="1236">
        <f>SUM(L40:L43)</f>
        <v>0</v>
      </c>
      <c r="M39" s="1236">
        <f>SUM(M40:M43)</f>
        <v>0</v>
      </c>
      <c r="N39" s="1236">
        <f>SUM(N40:N43)</f>
        <v>0</v>
      </c>
      <c r="O39" s="2445"/>
      <c r="P39" s="1234"/>
      <c r="AB39" s="1155">
        <v>11</v>
      </c>
    </row>
    <row customHeight="1" ht="24">
      <c r="F40" s="1230" t="s">
        <v>1139</v>
      </c>
      <c r="G40" s="1238" t="s">
        <v>1140</v>
      </c>
      <c r="H40" s="1236">
        <f>SUM(I40:J40)</f>
        <v>0</v>
      </c>
      <c r="I40" s="1235"/>
      <c r="J40" s="1225"/>
      <c r="K40" s="1236">
        <f>SUM(L40:O40)</f>
        <v>0</v>
      </c>
      <c r="L40" s="1235"/>
      <c r="M40" s="1235"/>
      <c r="N40" s="1235"/>
      <c r="O40" s="2445"/>
      <c r="P40" s="1234"/>
      <c r="AB40" s="1155">
        <v>23</v>
      </c>
    </row>
    <row customHeight="1" ht="11.549999999999999">
      <c r="F41" s="1230" t="s">
        <v>1141</v>
      </c>
      <c r="G41" s="1238" t="s">
        <v>1142</v>
      </c>
      <c r="H41" s="1236">
        <f>SUM(I41:J41)</f>
        <v>0</v>
      </c>
      <c r="I41" s="1235"/>
      <c r="J41" s="1225"/>
      <c r="K41" s="1236">
        <f>SUM(L41:O41)</f>
        <v>0</v>
      </c>
      <c r="L41" s="1235"/>
      <c r="M41" s="1235"/>
      <c r="N41" s="1235"/>
      <c r="O41" s="2445"/>
      <c r="P41" s="1234"/>
      <c r="AB41" s="1155">
        <v>11</v>
      </c>
    </row>
    <row customHeight="1" ht="11.549999999999999">
      <c r="F42" s="1230" t="s">
        <v>1143</v>
      </c>
      <c r="G42" s="1238" t="s">
        <v>1144</v>
      </c>
      <c r="H42" s="1236">
        <f>SUM(I42:J42)</f>
        <v>0</v>
      </c>
      <c r="I42" s="1235"/>
      <c r="J42" s="1225"/>
      <c r="K42" s="1236">
        <f>SUM(L42:O42)</f>
        <v>0</v>
      </c>
      <c r="L42" s="1235"/>
      <c r="M42" s="1235"/>
      <c r="N42" s="1235"/>
      <c r="O42" s="2445"/>
      <c r="P42" s="1234"/>
      <c r="AB42" s="1155">
        <v>11</v>
      </c>
    </row>
    <row customHeight="1" ht="35.699999999999996">
      <c r="F43" s="1230" t="s">
        <v>1145</v>
      </c>
      <c r="G43" s="1238" t="s">
        <v>1146</v>
      </c>
      <c r="H43" s="1236">
        <f>SUM(I43:J43)</f>
        <v>0</v>
      </c>
      <c r="I43" s="1235"/>
      <c r="J43" s="1225"/>
      <c r="K43" s="1236">
        <f>SUM(L43:O43)</f>
        <v>0</v>
      </c>
      <c r="L43" s="1235"/>
      <c r="M43" s="1235"/>
      <c r="N43" s="1235"/>
      <c r="O43" s="2445"/>
      <c r="P43" s="1234"/>
      <c r="AB43" s="1155">
        <v>34</v>
      </c>
    </row>
    <row customHeight="1" ht="11.549999999999999">
      <c r="F44" s="1230" t="s">
        <v>1105</v>
      </c>
      <c r="G44" s="1237" t="s">
        <v>1131</v>
      </c>
      <c r="H44" s="1236">
        <f>SUM(I44:J44)</f>
        <v>0</v>
      </c>
      <c r="I44" s="1236">
        <f>SUM(I45:I46)</f>
        <v>0</v>
      </c>
      <c r="J44" s="1225"/>
      <c r="K44" s="1236">
        <f>SUM(L44:O44)</f>
        <v>0</v>
      </c>
      <c r="L44" s="1236">
        <f>SUM(L45:L46)</f>
        <v>0</v>
      </c>
      <c r="M44" s="1236">
        <f>SUM(M45:M46)</f>
        <v>0</v>
      </c>
      <c r="N44" s="1236">
        <f>SUM(N45:N46)</f>
        <v>0</v>
      </c>
      <c r="O44" s="2445"/>
      <c r="P44" s="1234"/>
      <c r="AB44" s="1155">
        <v>11</v>
      </c>
    </row>
    <row customHeight="1" ht="48.29999999999999">
      <c r="F45" s="1230" t="s">
        <v>1147</v>
      </c>
      <c r="G45" s="1238" t="s">
        <v>1132</v>
      </c>
      <c r="H45" s="1236">
        <f>SUM(I45:J45)</f>
        <v>0</v>
      </c>
      <c r="I45" s="1235"/>
      <c r="J45" s="1225"/>
      <c r="K45" s="1236">
        <f>SUM(L45:O45)</f>
        <v>0</v>
      </c>
      <c r="L45" s="1235"/>
      <c r="M45" s="1235"/>
      <c r="N45" s="1235"/>
      <c r="O45" s="2445"/>
      <c r="P45" s="1234"/>
      <c r="AB45" s="1155">
        <v>46</v>
      </c>
    </row>
    <row customHeight="1" ht="11.549999999999999">
      <c r="F46" s="1230" t="s">
        <v>1148</v>
      </c>
      <c r="G46" s="1238" t="s">
        <v>1133</v>
      </c>
      <c r="H46" s="1236">
        <f>SUM(I46:J46)</f>
        <v>0</v>
      </c>
      <c r="I46" s="1235"/>
      <c r="J46" s="1225"/>
      <c r="K46" s="1236">
        <f>SUM(L46:O46)</f>
        <v>0</v>
      </c>
      <c r="L46" s="1235"/>
      <c r="M46" s="1235"/>
      <c r="N46" s="1235"/>
      <c r="O46" s="2445"/>
      <c r="P46" s="1234"/>
      <c r="AB46" s="1155">
        <v>11</v>
      </c>
    </row>
    <row customHeight="1" ht="11.549999999999999">
      <c r="F47" s="1230" t="s">
        <v>1107</v>
      </c>
      <c r="G47" s="1237" t="s">
        <v>1149</v>
      </c>
      <c r="H47" s="1236">
        <f>SUM(I47:J47)</f>
        <v>0</v>
      </c>
      <c r="I47" s="1235"/>
      <c r="J47" s="1225"/>
      <c r="K47" s="1236">
        <f>SUM(L47:O47)</f>
        <v>0</v>
      </c>
      <c r="L47" s="1235"/>
      <c r="M47" s="1235"/>
      <c r="N47" s="1235"/>
      <c r="O47" s="2445"/>
      <c r="P47" s="1234"/>
      <c r="AB47" s="1155">
        <v>11</v>
      </c>
    </row>
    <row customHeight="1" ht="24">
      <c r="F48" s="1230" t="s">
        <v>111</v>
      </c>
      <c r="G48" s="690" t="s">
        <v>1150</v>
      </c>
      <c r="H48" s="1236">
        <f>SUM(I48:J48)</f>
        <v>0</v>
      </c>
      <c r="I48" s="1236">
        <f>SUM(I49,I54,I57)</f>
        <v>0</v>
      </c>
      <c r="J48" s="1225"/>
      <c r="K48" s="1236">
        <f>SUM(L48:O48)</f>
        <v>0</v>
      </c>
      <c r="L48" s="1236">
        <f>SUM(L49,L54,L57)</f>
        <v>0</v>
      </c>
      <c r="M48" s="1236">
        <f>SUM(M49,M54,M57)</f>
        <v>0</v>
      </c>
      <c r="N48" s="1236">
        <f>SUM(N49,N54,N57)</f>
        <v>0</v>
      </c>
      <c r="O48" s="2445"/>
      <c r="P48" s="1234"/>
      <c r="AB48" s="1155">
        <v>23</v>
      </c>
    </row>
    <row customHeight="1" ht="11.549999999999999">
      <c r="F49" s="1230" t="s">
        <v>734</v>
      </c>
      <c r="G49" s="1237" t="s">
        <v>1102</v>
      </c>
      <c r="H49" s="1236">
        <f>SUM(I49:J49)</f>
        <v>0</v>
      </c>
      <c r="I49" s="1236">
        <f>SUM(I50:I53)</f>
        <v>0</v>
      </c>
      <c r="J49" s="1225"/>
      <c r="K49" s="1236">
        <f>SUM(L49:O49)</f>
        <v>0</v>
      </c>
      <c r="L49" s="1236">
        <f>SUM(L50:L53)</f>
        <v>0</v>
      </c>
      <c r="M49" s="1236">
        <f>SUM(M50:M53)</f>
        <v>0</v>
      </c>
      <c r="N49" s="1236">
        <f>SUM(N50:N53)</f>
        <v>0</v>
      </c>
      <c r="O49" s="2445"/>
      <c r="P49" s="1234"/>
      <c r="AB49" s="1155">
        <v>11</v>
      </c>
    </row>
    <row customHeight="1" ht="24">
      <c r="F50" s="1230" t="s">
        <v>737</v>
      </c>
      <c r="G50" s="1238" t="s">
        <v>1140</v>
      </c>
      <c r="H50" s="1236">
        <f>SUM(I50:J50)</f>
        <v>0</v>
      </c>
      <c r="I50" s="1235"/>
      <c r="J50" s="1225"/>
      <c r="K50" s="1236">
        <f>SUM(L50:O50)</f>
        <v>0</v>
      </c>
      <c r="L50" s="1235"/>
      <c r="M50" s="1235"/>
      <c r="N50" s="1235"/>
      <c r="O50" s="2445"/>
      <c r="P50" s="1234"/>
      <c r="AB50" s="1155">
        <v>23</v>
      </c>
    </row>
    <row customHeight="1" ht="11.549999999999999">
      <c r="F51" s="1230" t="s">
        <v>740</v>
      </c>
      <c r="G51" s="1238" t="s">
        <v>1142</v>
      </c>
      <c r="H51" s="1236">
        <f>SUM(I51:J51)</f>
        <v>0</v>
      </c>
      <c r="I51" s="1235"/>
      <c r="J51" s="1225"/>
      <c r="K51" s="1236">
        <f>SUM(L51:O51)</f>
        <v>0</v>
      </c>
      <c r="L51" s="1235"/>
      <c r="M51" s="1235"/>
      <c r="N51" s="1235"/>
      <c r="O51" s="2445"/>
      <c r="P51" s="1234"/>
      <c r="AB51" s="1155">
        <v>11</v>
      </c>
    </row>
    <row customHeight="1" ht="11.549999999999999">
      <c r="F52" s="1230" t="s">
        <v>1151</v>
      </c>
      <c r="G52" s="1238" t="s">
        <v>1144</v>
      </c>
      <c r="H52" s="1236">
        <f>SUM(I52:J52)</f>
        <v>0</v>
      </c>
      <c r="I52" s="1235"/>
      <c r="J52" s="1225"/>
      <c r="K52" s="1236">
        <f>SUM(L52:O52)</f>
        <v>0</v>
      </c>
      <c r="L52" s="1235"/>
      <c r="M52" s="1235"/>
      <c r="N52" s="1235"/>
      <c r="O52" s="2445"/>
      <c r="P52" s="1234"/>
      <c r="AB52" s="1155">
        <v>11</v>
      </c>
    </row>
    <row customHeight="1" ht="35.699999999999996">
      <c r="F53" s="1230" t="s">
        <v>1152</v>
      </c>
      <c r="G53" s="1238" t="s">
        <v>1146</v>
      </c>
      <c r="H53" s="1236">
        <f>SUM(I53:J53)</f>
        <v>0</v>
      </c>
      <c r="I53" s="1235"/>
      <c r="J53" s="1225"/>
      <c r="K53" s="1236">
        <f>SUM(L53:O53)</f>
        <v>0</v>
      </c>
      <c r="L53" s="1235"/>
      <c r="M53" s="1235"/>
      <c r="N53" s="1235"/>
      <c r="O53" s="2445"/>
      <c r="P53" s="1234"/>
      <c r="AB53" s="1155">
        <v>34</v>
      </c>
    </row>
    <row customHeight="1" ht="11.549999999999999">
      <c r="F54" s="1230" t="s">
        <v>312</v>
      </c>
      <c r="G54" s="1237" t="s">
        <v>1131</v>
      </c>
      <c r="H54" s="1236">
        <f>SUM(I54:J54)</f>
        <v>0</v>
      </c>
      <c r="I54" s="1236">
        <f>SUM(I55:I56)</f>
        <v>0</v>
      </c>
      <c r="J54" s="1225"/>
      <c r="K54" s="1236">
        <f>SUM(L54:O54)</f>
        <v>0</v>
      </c>
      <c r="L54" s="1236">
        <f>SUM(L55:L56)</f>
        <v>0</v>
      </c>
      <c r="M54" s="1236">
        <f>SUM(M55:M56)</f>
        <v>0</v>
      </c>
      <c r="N54" s="1236">
        <f>SUM(N55:N56)</f>
        <v>0</v>
      </c>
      <c r="O54" s="2445"/>
      <c r="P54" s="1234"/>
      <c r="AB54" s="1155">
        <v>11</v>
      </c>
    </row>
    <row customHeight="1" ht="48.29999999999999">
      <c r="F55" s="1230" t="s">
        <v>744</v>
      </c>
      <c r="G55" s="1238" t="s">
        <v>1132</v>
      </c>
      <c r="H55" s="1236">
        <f>SUM(I55:J55)</f>
        <v>0</v>
      </c>
      <c r="I55" s="1235"/>
      <c r="J55" s="1225"/>
      <c r="K55" s="1236">
        <f>SUM(L55:O55)</f>
        <v>0</v>
      </c>
      <c r="L55" s="1235"/>
      <c r="M55" s="1235"/>
      <c r="N55" s="1235"/>
      <c r="O55" s="2445"/>
      <c r="P55" s="1234"/>
      <c r="AB55" s="1155">
        <v>46</v>
      </c>
    </row>
    <row customHeight="1" ht="11.549999999999999">
      <c r="F56" s="1230" t="s">
        <v>746</v>
      </c>
      <c r="G56" s="1238" t="s">
        <v>1133</v>
      </c>
      <c r="H56" s="1236">
        <f>SUM(I56:J56)</f>
        <v>0</v>
      </c>
      <c r="I56" s="1235"/>
      <c r="J56" s="1225"/>
      <c r="K56" s="1236">
        <f>SUM(L56:O56)</f>
        <v>0</v>
      </c>
      <c r="L56" s="1235"/>
      <c r="M56" s="1235"/>
      <c r="N56" s="1235"/>
      <c r="O56" s="2445"/>
      <c r="P56" s="1234"/>
      <c r="AB56" s="1155">
        <v>11</v>
      </c>
    </row>
    <row customHeight="1" ht="11.549999999999999">
      <c r="F57" s="1230" t="s">
        <v>315</v>
      </c>
      <c r="G57" s="1237" t="s">
        <v>1149</v>
      </c>
      <c r="H57" s="1236">
        <f>SUM(I57:J57)</f>
        <v>0</v>
      </c>
      <c r="I57" s="1235"/>
      <c r="J57" s="1225"/>
      <c r="K57" s="1236">
        <f>SUM(L57:O57)</f>
        <v>0</v>
      </c>
      <c r="L57" s="1235"/>
      <c r="M57" s="1235"/>
      <c r="N57" s="1235"/>
      <c r="O57" s="2445"/>
      <c r="P57" s="1234"/>
      <c r="AB57" s="1155">
        <v>11</v>
      </c>
    </row>
    <row customHeight="1" ht="11.549999999999999">
      <c r="F58" s="1230"/>
      <c r="G58" s="1239" t="s">
        <v>1135</v>
      </c>
      <c r="H58" s="1236">
        <f>SUM(I58:J58)</f>
        <v>0</v>
      </c>
      <c r="I58" s="1236">
        <f>SUM(I38,I48)</f>
        <v>0</v>
      </c>
      <c r="J58" s="1225"/>
      <c r="K58" s="1236">
        <f>SUM(L58:O58)</f>
        <v>0</v>
      </c>
      <c r="L58" s="1236">
        <f>SUM(L38,L48)</f>
        <v>0</v>
      </c>
      <c r="M58" s="1236">
        <f>SUM(M38,M48)</f>
        <v>0</v>
      </c>
      <c r="N58" s="1236">
        <f>SUM(N38,N48)</f>
        <v>0</v>
      </c>
      <c r="O58" s="2445"/>
      <c r="P58" s="1234"/>
      <c r="AB58" s="1155">
        <v>11</v>
      </c>
    </row>
    <row customHeight="1" ht="10.5" hidden="1">
      <c r="A59" s="1166" t="s">
        <v>83</v>
      </c>
      <c r="B59" s="1166">
        <v>0</v>
      </c>
      <c r="C59" s="1166">
        <v>0</v>
      </c>
      <c r="D59" s="1160">
        <v>0</v>
      </c>
      <c r="E59" s="509">
        <v>3</v>
      </c>
      <c r="F59" s="1155">
        <v>6</v>
      </c>
      <c r="G59" s="1155">
        <v>60</v>
      </c>
      <c r="H59" s="1155">
        <v>0</v>
      </c>
      <c r="I59" s="1155">
        <v>0</v>
      </c>
      <c r="J59" s="1155">
        <v>0</v>
      </c>
      <c r="K59" s="1635">
        <v>0</v>
      </c>
      <c r="L59" s="1635">
        <v>0</v>
      </c>
      <c r="M59" s="1635">
        <v>0</v>
      </c>
      <c r="N59" s="1635">
        <v>0</v>
      </c>
      <c r="O59" s="1635">
        <v>0</v>
      </c>
      <c r="P59" s="1155">
        <v>1</v>
      </c>
      <c r="Q59" s="1155">
        <v>8</v>
      </c>
      <c r="R59" s="1155">
        <v>8</v>
      </c>
      <c r="S59" s="1155">
        <v>8</v>
      </c>
      <c r="T59" s="1155">
        <v>8</v>
      </c>
      <c r="U59" s="1155">
        <v>8</v>
      </c>
      <c r="V59" s="1155">
        <v>8</v>
      </c>
      <c r="W59" s="1155">
        <v>8</v>
      </c>
      <c r="X59" s="1155">
        <v>8</v>
      </c>
      <c r="Y59" s="1155">
        <v>8</v>
      </c>
      <c r="Z59" s="1155">
        <v>8</v>
      </c>
      <c r="AA59" s="1155">
        <v>8</v>
      </c>
      <c r="AB59" s="1155">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2A5F7-5AA7-2868-43C4-D58A1D4F9A9C}" mc:Ignorable="x14ac xr xr2 xr3">
  <sheetPr>
    <tabColor theme="9" tint="-0.25"/>
  </sheetPr>
  <dimension ref="A1:GC28"/>
  <sheetViews>
    <sheetView showGridLines="0" zoomScale="90" workbookViewId="0">
      <pane xSplit="14" ySplit="17" topLeftCell="P21" activePane="bottomRight" state="frozen"/>
      <selection pane="bottomLeft" activeCell="A18" sqref="A18"/>
      <selection pane="topRight" activeCell="O1" sqref="O1"/>
      <selection pane="bottomRight" activeCell="AB22" sqref="AB22"/>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15" style="1063" width="10.3125" customWidth="1"/>
    <col min="16" max="16" style="1063" width="9.68359375" customWidth="1"/>
    <col min="17" max="17" style="1063" width="8.73046875" customWidth="1"/>
    <col min="18" max="18" style="1063" width="9.36328125" customWidth="1"/>
    <col min="19" max="19" style="1063" width="9.203125" customWidth="1"/>
    <col min="20" max="20" style="1063" width="9.84375" customWidth="1"/>
    <col min="21" max="22" style="1063" width="10.953125" customWidth="1"/>
    <col min="23" max="23" style="1063" width="11.11328125" customWidth="1"/>
    <col min="24" max="24" style="1063" width="10.953125" customWidth="1"/>
    <col min="25" max="25" style="1063" width="10.47265625" customWidth="1"/>
    <col min="26" max="26" style="1063" width="11.11328125" customWidth="1"/>
    <col min="27" max="27" style="1063" width="10.15234375" customWidth="1"/>
    <col min="28" max="28" style="1063" width="10.4726562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5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0">
        <v>26</v>
      </c>
    </row>
    <row s="2157" customFormat="1" customHeight="1" ht="18.75">
      <c r="B6" s="943"/>
      <c r="E6" s="945"/>
      <c r="F6" s="2233" t="str">
        <f>IF(org=0,"Не определено",org)</f>
        <v>Муниципальное унитарное предприятие "Невельские коммунальные сети"</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9" t="s">
        <v>1153</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1154</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67"/>
      <c r="FX9" s="1056"/>
      <c r="GC9" s="933">
        <v>0</v>
      </c>
    </row>
    <row s="933" customFormat="1" customHeight="1" ht="11.549999999999999">
      <c r="B10" s="934"/>
      <c r="F10" s="2448" t="s">
        <v>305</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56"/>
      <c r="GC10" s="933">
        <v>11</v>
      </c>
    </row>
    <row customHeight="1" ht="12.75">
      <c r="E11" s="937"/>
      <c r="F11" s="2224" t="s">
        <v>89</v>
      </c>
      <c r="G11" s="2224" t="s">
        <v>1155</v>
      </c>
      <c r="H11" s="2456" t="s">
        <v>1156</v>
      </c>
      <c r="I11" s="2456" t="s">
        <v>1157</v>
      </c>
      <c r="J11" s="2457"/>
      <c r="K11" s="2457"/>
      <c r="L11" s="2457"/>
      <c r="M11" s="2457"/>
      <c r="N11" s="2457"/>
      <c r="O11" s="2228" t="s">
        <v>1158</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1158</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1158</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2"/>
      <c r="GC11" s="926">
        <v>12</v>
      </c>
    </row>
    <row customHeight="1" ht="12.75">
      <c r="D12" s="938"/>
      <c r="E12" s="937"/>
      <c r="F12" s="2224"/>
      <c r="G12" s="2224"/>
      <c r="H12" s="2456"/>
      <c r="I12" s="2456"/>
      <c r="J12" s="2457"/>
      <c r="K12" s="2457"/>
      <c r="L12" s="2457"/>
      <c r="M12" s="2457"/>
      <c r="N12" s="2457"/>
      <c r="O12" s="2228" t="s">
        <v>1159</v>
      </c>
      <c r="P12" s="2228"/>
      <c r="Q12" s="2228"/>
      <c r="R12" s="2228"/>
      <c r="S12" s="2228" t="s">
        <v>1160</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1161</v>
      </c>
      <c r="BU12" s="2406"/>
      <c r="BV12" s="2406"/>
      <c r="BW12" s="2452"/>
      <c r="BX12" s="2405" t="s">
        <v>1162</v>
      </c>
      <c r="BY12" s="2406"/>
      <c r="BZ12" s="2406"/>
      <c r="CA12" s="2452"/>
      <c r="CB12" s="2405" t="s">
        <v>1163</v>
      </c>
      <c r="CC12" s="2452"/>
      <c r="CD12" s="2405" t="s">
        <v>1164</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1165</v>
      </c>
      <c r="CZ12" s="2406"/>
      <c r="DA12" s="2406"/>
      <c r="DB12" s="2406"/>
      <c r="DC12" s="2406"/>
      <c r="DD12" s="2452"/>
      <c r="DE12" s="2405" t="s">
        <v>1166</v>
      </c>
      <c r="DF12" s="2452"/>
      <c r="DG12" s="2405" t="s">
        <v>1164</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2"/>
      <c r="GC12" s="926">
        <v>12</v>
      </c>
    </row>
    <row customHeight="1" ht="37.8">
      <c r="D13" s="938"/>
      <c r="E13" s="937"/>
      <c r="F13" s="2224"/>
      <c r="G13" s="2224"/>
      <c r="H13" s="2456"/>
      <c r="I13" s="2456"/>
      <c r="J13" s="2457"/>
      <c r="K13" s="2457"/>
      <c r="L13" s="2457"/>
      <c r="M13" s="2457"/>
      <c r="N13" s="2457"/>
      <c r="O13" s="2228" t="s">
        <v>1167</v>
      </c>
      <c r="P13" s="2228"/>
      <c r="Q13" s="2228"/>
      <c r="R13" s="2228"/>
      <c r="S13" s="2355" t="s">
        <v>1168</v>
      </c>
      <c r="T13" s="2407"/>
      <c r="U13" s="2146" t="s">
        <v>1169</v>
      </c>
      <c r="V13" s="2146"/>
      <c r="W13" s="2146"/>
      <c r="X13" s="2146"/>
      <c r="Y13" s="2146" t="s">
        <v>1170</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1171</v>
      </c>
      <c r="BU13" s="2407"/>
      <c r="BV13" s="2355" t="s">
        <v>1172</v>
      </c>
      <c r="BW13" s="2407"/>
      <c r="BX13" s="2355" t="s">
        <v>1173</v>
      </c>
      <c r="BY13" s="2407"/>
      <c r="BZ13" s="2355" t="s">
        <v>1174</v>
      </c>
      <c r="CA13" s="2407"/>
      <c r="CB13" s="2355" t="s">
        <v>1175</v>
      </c>
      <c r="CC13" s="2407"/>
      <c r="CD13" s="2355" t="s">
        <v>1176</v>
      </c>
      <c r="CE13" s="2407"/>
      <c r="CF13" s="2355" t="s">
        <v>1177</v>
      </c>
      <c r="CG13" s="2407"/>
      <c r="CH13" s="2405" t="s">
        <v>1178</v>
      </c>
      <c r="CI13" s="2406"/>
      <c r="CJ13" s="2406"/>
      <c r="CK13" s="2452"/>
      <c r="CL13" s="2455"/>
      <c r="CM13" s="2453"/>
      <c r="CN13" s="2453"/>
      <c r="CO13" s="2453"/>
      <c r="CP13" s="2453"/>
      <c r="CQ13" s="2453"/>
      <c r="CR13" s="2453"/>
      <c r="CS13" s="2453"/>
      <c r="CT13" s="2453"/>
      <c r="CU13" s="2453"/>
      <c r="CV13" s="2453"/>
      <c r="CW13" s="2453"/>
      <c r="CX13" s="2472"/>
      <c r="CY13" s="2355" t="s">
        <v>1179</v>
      </c>
      <c r="CZ13" s="2407"/>
      <c r="DA13" s="2355" t="s">
        <v>1180</v>
      </c>
      <c r="DB13" s="2407"/>
      <c r="DC13" s="2355" t="s">
        <v>1181</v>
      </c>
      <c r="DD13" s="2407"/>
      <c r="DE13" s="2355" t="s">
        <v>1182</v>
      </c>
      <c r="DF13" s="2407"/>
      <c r="DG13" s="2405" t="s">
        <v>1183</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2"/>
      <c r="GC13" s="926">
        <v>36</v>
      </c>
    </row>
    <row customHeight="1" ht="37.8">
      <c r="D14" s="938"/>
      <c r="E14" s="937"/>
      <c r="F14" s="2224"/>
      <c r="G14" s="2224"/>
      <c r="H14" s="2456"/>
      <c r="I14" s="2456"/>
      <c r="J14" s="2457"/>
      <c r="K14" s="2457"/>
      <c r="L14" s="2457"/>
      <c r="M14" s="2457"/>
      <c r="N14" s="2457"/>
      <c r="O14" s="2355" t="s">
        <v>1184</v>
      </c>
      <c r="P14" s="2407"/>
      <c r="Q14" s="2355" t="s">
        <v>1185</v>
      </c>
      <c r="R14" s="2407"/>
      <c r="S14" s="2356"/>
      <c r="T14" s="2232"/>
      <c r="U14" s="2355" t="s">
        <v>881</v>
      </c>
      <c r="V14" s="2407"/>
      <c r="W14" s="2355" t="s">
        <v>884</v>
      </c>
      <c r="X14" s="2407"/>
      <c r="Y14" s="2355" t="s">
        <v>881</v>
      </c>
      <c r="Z14" s="2407"/>
      <c r="AA14" s="2355" t="s">
        <v>891</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1186</v>
      </c>
      <c r="CI14" s="2407"/>
      <c r="CJ14" s="2355" t="s">
        <v>1187</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1188</v>
      </c>
      <c r="DH14" s="2407"/>
      <c r="DI14" s="2355" t="s">
        <v>1189</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2"/>
      <c r="GC14" s="926">
        <v>36</v>
      </c>
    </row>
    <row customHeight="1" ht="37.8">
      <c r="D15" s="938"/>
      <c r="E15" s="937"/>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2"/>
      <c r="GC15" s="926">
        <v>36</v>
      </c>
    </row>
    <row customHeight="1" ht="12.75">
      <c r="D16" s="938"/>
      <c r="E16" s="937"/>
      <c r="F16" s="2224"/>
      <c r="G16" s="2224"/>
      <c r="H16" s="2456"/>
      <c r="I16" s="2456"/>
      <c r="J16" s="2457"/>
      <c r="K16" s="2457"/>
      <c r="L16" s="2457"/>
      <c r="M16" s="2457"/>
      <c r="N16" s="2457"/>
      <c r="O16" s="2405" t="s">
        <v>871</v>
      </c>
      <c r="P16" s="2452"/>
      <c r="Q16" s="2405" t="s">
        <v>873</v>
      </c>
      <c r="R16" s="2452"/>
      <c r="S16" s="2405" t="s">
        <v>877</v>
      </c>
      <c r="T16" s="2452"/>
      <c r="U16" s="2405" t="s">
        <v>882</v>
      </c>
      <c r="V16" s="2452"/>
      <c r="W16" s="2405" t="s">
        <v>885</v>
      </c>
      <c r="X16" s="2452"/>
      <c r="Y16" s="2405" t="s">
        <v>889</v>
      </c>
      <c r="Z16" s="2452"/>
      <c r="AA16" s="2405" t="s">
        <v>892</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561</v>
      </c>
      <c r="BU16" s="2452"/>
      <c r="BV16" s="2405" t="s">
        <v>561</v>
      </c>
      <c r="BW16" s="2452"/>
      <c r="BX16" s="2405" t="s">
        <v>561</v>
      </c>
      <c r="BY16" s="2452"/>
      <c r="BZ16" s="2405" t="s">
        <v>561</v>
      </c>
      <c r="CA16" s="2452"/>
      <c r="CB16" s="2405" t="s">
        <v>1190</v>
      </c>
      <c r="CC16" s="2452"/>
      <c r="CD16" s="2405" t="s">
        <v>561</v>
      </c>
      <c r="CE16" s="2452"/>
      <c r="CF16" s="2405" t="s">
        <v>1191</v>
      </c>
      <c r="CG16" s="2452"/>
      <c r="CH16" s="2405" t="s">
        <v>1192</v>
      </c>
      <c r="CI16" s="2452"/>
      <c r="CJ16" s="2405" t="s">
        <v>1192</v>
      </c>
      <c r="CK16" s="2452"/>
      <c r="CL16" s="2455"/>
      <c r="CM16" s="2453"/>
      <c r="CN16" s="2453"/>
      <c r="CO16" s="2453"/>
      <c r="CP16" s="2453"/>
      <c r="CQ16" s="2453"/>
      <c r="CR16" s="2453"/>
      <c r="CS16" s="2453"/>
      <c r="CT16" s="2453"/>
      <c r="CU16" s="2453"/>
      <c r="CV16" s="2453"/>
      <c r="CW16" s="2453"/>
      <c r="CX16" s="2472"/>
      <c r="CY16" s="2355" t="s">
        <v>561</v>
      </c>
      <c r="CZ16" s="2407"/>
      <c r="DA16" s="2355" t="s">
        <v>561</v>
      </c>
      <c r="DB16" s="2407"/>
      <c r="DC16" s="2355" t="s">
        <v>561</v>
      </c>
      <c r="DD16" s="2407"/>
      <c r="DE16" s="2405" t="s">
        <v>1190</v>
      </c>
      <c r="DF16" s="2452"/>
      <c r="DG16" s="2405" t="s">
        <v>1193</v>
      </c>
      <c r="DH16" s="2452"/>
      <c r="DI16" s="2405" t="s">
        <v>1193</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2"/>
      <c r="GC16" s="926">
        <v>12</v>
      </c>
    </row>
    <row customHeight="1" ht="15.75">
      <c r="E17" s="937"/>
      <c r="F17" s="2224"/>
      <c r="G17" s="2224"/>
      <c r="H17" s="2456"/>
      <c r="I17" s="2456"/>
      <c r="J17" s="2457"/>
      <c r="K17" s="2457"/>
      <c r="L17" s="2457"/>
      <c r="M17" s="2457"/>
      <c r="N17" s="2457"/>
      <c r="O17" s="1191" t="s">
        <v>1194</v>
      </c>
      <c r="P17" s="1191" t="s">
        <v>1195</v>
      </c>
      <c r="Q17" s="1191" t="s">
        <v>1194</v>
      </c>
      <c r="R17" s="1191" t="s">
        <v>1195</v>
      </c>
      <c r="S17" s="1191" t="s">
        <v>1194</v>
      </c>
      <c r="T17" s="1191" t="s">
        <v>1195</v>
      </c>
      <c r="U17" s="1191" t="s">
        <v>1194</v>
      </c>
      <c r="V17" s="1191" t="s">
        <v>1195</v>
      </c>
      <c r="W17" s="1191" t="s">
        <v>1194</v>
      </c>
      <c r="X17" s="1191" t="s">
        <v>1195</v>
      </c>
      <c r="Y17" s="1191" t="s">
        <v>1194</v>
      </c>
      <c r="Z17" s="1191" t="s">
        <v>1195</v>
      </c>
      <c r="AA17" s="1191" t="s">
        <v>1194</v>
      </c>
      <c r="AB17" s="1191" t="s">
        <v>1195</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1" t="s">
        <v>1194</v>
      </c>
      <c r="BU17" s="1191" t="s">
        <v>1195</v>
      </c>
      <c r="BV17" s="1191" t="s">
        <v>1194</v>
      </c>
      <c r="BW17" s="1191" t="s">
        <v>1195</v>
      </c>
      <c r="BX17" s="1191" t="s">
        <v>1194</v>
      </c>
      <c r="BY17" s="1191" t="s">
        <v>1195</v>
      </c>
      <c r="BZ17" s="1191" t="s">
        <v>1194</v>
      </c>
      <c r="CA17" s="1191" t="s">
        <v>1195</v>
      </c>
      <c r="CB17" s="1191" t="s">
        <v>1194</v>
      </c>
      <c r="CC17" s="1191" t="s">
        <v>1195</v>
      </c>
      <c r="CD17" s="1191" t="s">
        <v>1194</v>
      </c>
      <c r="CE17" s="1191" t="s">
        <v>1195</v>
      </c>
      <c r="CF17" s="1191" t="s">
        <v>1194</v>
      </c>
      <c r="CG17" s="1191" t="s">
        <v>1195</v>
      </c>
      <c r="CH17" s="1191" t="s">
        <v>1194</v>
      </c>
      <c r="CI17" s="1191" t="s">
        <v>1195</v>
      </c>
      <c r="CJ17" s="1191" t="s">
        <v>1194</v>
      </c>
      <c r="CK17" s="1191" t="s">
        <v>1195</v>
      </c>
      <c r="CL17" s="2455"/>
      <c r="CM17" s="2453"/>
      <c r="CN17" s="2453"/>
      <c r="CO17" s="2453"/>
      <c r="CP17" s="2453"/>
      <c r="CQ17" s="2453"/>
      <c r="CR17" s="2453"/>
      <c r="CS17" s="2453"/>
      <c r="CT17" s="2453"/>
      <c r="CU17" s="2453"/>
      <c r="CV17" s="2453"/>
      <c r="CW17" s="2453"/>
      <c r="CX17" s="2472"/>
      <c r="CY17" s="1191" t="s">
        <v>1194</v>
      </c>
      <c r="CZ17" s="1191" t="s">
        <v>1195</v>
      </c>
      <c r="DA17" s="1191" t="s">
        <v>1194</v>
      </c>
      <c r="DB17" s="1191" t="s">
        <v>1195</v>
      </c>
      <c r="DC17" s="1191" t="s">
        <v>1194</v>
      </c>
      <c r="DD17" s="1191" t="s">
        <v>1195</v>
      </c>
      <c r="DE17" s="1191" t="s">
        <v>1194</v>
      </c>
      <c r="DF17" s="1191" t="s">
        <v>1195</v>
      </c>
      <c r="DG17" s="1191" t="s">
        <v>1194</v>
      </c>
      <c r="DH17" s="1191" t="s">
        <v>1195</v>
      </c>
      <c r="DI17" s="1191" t="s">
        <v>1194</v>
      </c>
      <c r="DJ17" s="1191" t="s">
        <v>1195</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21">
      <c r="A21" s="1324" t="s">
        <v>1042</v>
      </c>
      <c r="B21" s="940"/>
      <c r="C21" s="925"/>
      <c r="D21" s="925"/>
      <c r="E21" s="939" t="s">
        <v>22</v>
      </c>
      <c r="F21" s="1121" t="str">
        <f>INDEX(IP_MAIN_LIST_NAME_IP,MATCH(A21,IP_MAIN_LIST_IP_ID,0))&amp;" ("&amp;INDEX(IP_MAIN_START_DATE,MATCH(A21,IP_MAIN_LIST_IP_ID,0))&amp;"-"&amp;INDEX(IP_MAIN_END_DATE,MATCH(A21,IP_MAIN_LIST_IP_ID,0))&amp;")"</f>
        <v>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 (01.01.2024-31.12.2026)</v>
      </c>
      <c r="G21" s="1203"/>
      <c r="H21" s="1204"/>
      <c r="I21" s="1204"/>
      <c r="J21" s="1204"/>
      <c r="K21" s="1204"/>
      <c r="L21" s="1204"/>
      <c r="M21" s="1204"/>
      <c r="N21" s="1204"/>
      <c r="O21" s="1203"/>
      <c r="P21" s="1203"/>
      <c r="Q21" s="1203"/>
      <c r="R21" s="1203"/>
      <c r="S21" s="1203"/>
      <c r="T21" s="1203"/>
      <c r="U21" s="1205"/>
      <c r="V21" s="1205"/>
      <c r="W21" s="1205"/>
      <c r="X21" s="1205"/>
      <c r="Y21" s="1205"/>
      <c r="Z21" s="1205"/>
      <c r="AA21" s="1205"/>
      <c r="AB21" s="1203"/>
      <c r="AC21" s="1204"/>
      <c r="AD21" s="1204"/>
      <c r="AE21" s="1204"/>
      <c r="AF21" s="1204"/>
      <c r="AG21" s="1204"/>
      <c r="AH21" s="1204"/>
      <c r="AI21" s="1204"/>
      <c r="AJ21" s="1204"/>
      <c r="AK21" s="1204"/>
      <c r="AL21" s="1204"/>
      <c r="AM21" s="1204"/>
      <c r="AN21" s="1204"/>
      <c r="AO21" s="1204"/>
      <c r="AP21" s="1204"/>
      <c r="AQ21" s="1204"/>
      <c r="AR21" s="1204"/>
      <c r="AS21" s="1204"/>
      <c r="AT21" s="1204"/>
      <c r="AU21" s="1204"/>
      <c r="AV21" s="1204"/>
      <c r="AW21" s="1204"/>
      <c r="AX21" s="1204"/>
      <c r="AY21" s="1204"/>
      <c r="AZ21" s="1204"/>
      <c r="BA21" s="1204"/>
      <c r="BB21" s="1204"/>
      <c r="BC21" s="1204"/>
      <c r="BD21" s="1204"/>
      <c r="BE21" s="1204"/>
      <c r="BF21" s="1204"/>
      <c r="BG21" s="1204"/>
      <c r="BH21" s="1204"/>
      <c r="BI21" s="1204"/>
      <c r="BJ21" s="1204"/>
      <c r="BK21" s="1204"/>
      <c r="BL21" s="1204"/>
      <c r="BM21" s="1204"/>
      <c r="BN21" s="1204"/>
      <c r="BO21" s="1204"/>
      <c r="BP21" s="1204"/>
      <c r="BQ21" s="1204"/>
      <c r="BR21" s="1204"/>
      <c r="BS21" s="1204"/>
      <c r="BT21" s="1204"/>
      <c r="BU21" s="1204"/>
      <c r="BV21" s="1204"/>
      <c r="BW21" s="1204"/>
      <c r="BX21" s="1204"/>
      <c r="BY21" s="1204"/>
      <c r="BZ21" s="1204"/>
      <c r="CA21" s="1204"/>
      <c r="CB21" s="1204"/>
      <c r="CC21" s="1204"/>
      <c r="CD21" s="1204"/>
      <c r="CE21" s="1204"/>
      <c r="CF21" s="1204"/>
      <c r="CG21" s="1204"/>
      <c r="CH21" s="1204"/>
      <c r="CI21" s="1204"/>
      <c r="CJ21" s="1204"/>
      <c r="CK21" s="1204"/>
      <c r="CL21" s="1206"/>
      <c r="CM21" s="1206"/>
      <c r="CN21" s="1206"/>
      <c r="CO21" s="1206"/>
      <c r="CP21" s="1206"/>
      <c r="CQ21" s="1206"/>
      <c r="CR21" s="1206"/>
      <c r="CS21" s="1206"/>
      <c r="CT21" s="1206"/>
      <c r="CU21" s="1206"/>
      <c r="CV21" s="1206"/>
      <c r="CW21" s="1206"/>
      <c r="CX21" s="1206"/>
      <c r="CY21" s="1206"/>
      <c r="CZ21" s="1206"/>
      <c r="DA21" s="1206"/>
      <c r="DB21" s="1206"/>
      <c r="DC21" s="1206"/>
      <c r="DD21" s="1206"/>
      <c r="DE21" s="1206"/>
      <c r="DF21" s="1206"/>
      <c r="DG21" s="1206"/>
      <c r="DH21" s="1206"/>
      <c r="DI21" s="1206"/>
      <c r="DJ21" s="1206"/>
      <c r="DK21" s="1206"/>
      <c r="DL21" s="1206"/>
      <c r="DM21" s="1206"/>
      <c r="DN21" s="1206"/>
      <c r="DO21" s="1206"/>
      <c r="DP21" s="1206"/>
      <c r="DQ21" s="1206"/>
      <c r="DR21" s="1206"/>
      <c r="DS21" s="1206"/>
      <c r="DT21" s="1206"/>
      <c r="DU21" s="1206"/>
      <c r="DV21" s="1206"/>
      <c r="DW21" s="1206"/>
      <c r="DX21" s="1206"/>
      <c r="DY21" s="1206"/>
      <c r="DZ21" s="1206"/>
      <c r="EA21" s="1206"/>
      <c r="EB21" s="1206"/>
      <c r="EC21" s="1206"/>
      <c r="ED21" s="1206"/>
      <c r="EE21" s="1206"/>
      <c r="EF21" s="1206"/>
      <c r="EG21" s="1206"/>
      <c r="EH21" s="1206"/>
      <c r="EI21" s="1206"/>
      <c r="EJ21" s="1206"/>
      <c r="EK21" s="1206"/>
      <c r="EL21" s="1206"/>
      <c r="EM21" s="1206"/>
      <c r="EN21" s="1206"/>
      <c r="EO21" s="1206"/>
      <c r="EP21" s="1206"/>
      <c r="EQ21" s="1206"/>
      <c r="ER21" s="1206"/>
      <c r="ES21" s="1206"/>
      <c r="ET21" s="1206"/>
      <c r="EU21" s="1206"/>
      <c r="EV21" s="1206"/>
      <c r="EW21" s="1206"/>
      <c r="EX21" s="1206"/>
      <c r="EY21" s="1206"/>
      <c r="EZ21" s="1206"/>
      <c r="FA21" s="1206"/>
      <c r="FB21" s="1206"/>
      <c r="FC21" s="1206"/>
      <c r="FD21" s="1206"/>
      <c r="FE21" s="1206"/>
      <c r="FF21" s="1206"/>
      <c r="FG21" s="1206"/>
      <c r="FH21" s="1206"/>
      <c r="FI21" s="1206"/>
      <c r="FJ21" s="1206"/>
      <c r="FK21" s="1206"/>
      <c r="FL21" s="1206"/>
      <c r="FM21" s="1206"/>
      <c r="FN21" s="1206"/>
      <c r="FO21" s="1206"/>
      <c r="FP21" s="1206"/>
      <c r="FQ21" s="1206"/>
      <c r="FR21" s="1206"/>
      <c r="FS21" s="1206"/>
      <c r="FT21" s="1206"/>
      <c r="FU21" s="1206"/>
      <c r="FV21" s="1207"/>
      <c r="FW21" s="1201"/>
      <c r="FX21" s="1202"/>
      <c r="FY21" s="925"/>
      <c r="FZ21" s="925"/>
      <c r="GA21" s="925"/>
      <c r="GB21" s="925"/>
    </row>
    <row s="925" customFormat="1" customHeight="1" ht="24.75">
      <c r="A22" s="925" t="s">
        <v>1042</v>
      </c>
      <c r="B22" s="940"/>
      <c r="C22" s="925"/>
      <c r="D22" s="925"/>
      <c r="E22" s="1847"/>
      <c r="F22" s="2408">
        <v>1</v>
      </c>
      <c r="G22" s="2581" t="s">
        <v>1030</v>
      </c>
      <c r="H22" s="1210" t="s">
        <v>1196</v>
      </c>
      <c r="I22" s="1979" t="s">
        <v>1197</v>
      </c>
      <c r="J22" s="1211"/>
      <c r="K22" s="1211"/>
      <c r="L22" s="1211"/>
      <c r="M22" s="1211"/>
      <c r="N22" s="1211"/>
      <c r="O22" s="1212">
        <v>0</v>
      </c>
      <c r="P22" s="1212">
        <v>0</v>
      </c>
      <c r="Q22" s="1212">
        <v>0</v>
      </c>
      <c r="R22" s="1212">
        <v>0</v>
      </c>
      <c r="S22" s="1212">
        <v>164.6</v>
      </c>
      <c r="T22" s="1212">
        <v>172.95</v>
      </c>
      <c r="U22" s="1212">
        <v>2.95</v>
      </c>
      <c r="V22" s="1212">
        <v>1.55</v>
      </c>
      <c r="W22" s="1212">
        <v>2.95</v>
      </c>
      <c r="X22" s="1212">
        <v>1.55</v>
      </c>
      <c r="Y22" s="1212">
        <v>20.83</v>
      </c>
      <c r="Z22" s="1212">
        <v>13.2</v>
      </c>
      <c r="AA22" s="1212">
        <v>20.83</v>
      </c>
      <c r="AB22" s="1212">
        <v>13.2</v>
      </c>
      <c r="AC22" s="1211"/>
      <c r="AD22" s="1211"/>
      <c r="AE22" s="1211"/>
      <c r="AF22" s="1211"/>
      <c r="AG22" s="1211"/>
      <c r="AH22" s="1211"/>
      <c r="AI22" s="1211"/>
      <c r="AJ22" s="1211"/>
      <c r="AK22" s="1211"/>
      <c r="AL22" s="1211"/>
      <c r="AM22" s="1211"/>
      <c r="AN22" s="1211"/>
      <c r="AO22" s="1211"/>
      <c r="AP22" s="1211"/>
      <c r="AQ22" s="1211"/>
      <c r="AR22" s="1211"/>
      <c r="AS22" s="1211"/>
      <c r="AT22" s="1211"/>
      <c r="AU22" s="1211"/>
      <c r="AV22" s="1211"/>
      <c r="AW22" s="1211"/>
      <c r="AX22" s="1211"/>
      <c r="AY22" s="1211"/>
      <c r="AZ22" s="1211"/>
      <c r="BA22" s="1211"/>
      <c r="BB22" s="1211"/>
      <c r="BC22" s="1211"/>
      <c r="BD22" s="1211"/>
      <c r="BE22" s="1211"/>
      <c r="BF22" s="1211"/>
      <c r="BG22" s="1211"/>
      <c r="BH22" s="1211"/>
      <c r="BI22" s="1211"/>
      <c r="BJ22" s="1211"/>
      <c r="BK22" s="1211"/>
      <c r="BL22" s="1211"/>
      <c r="BM22" s="1211"/>
      <c r="BN22" s="1211"/>
      <c r="BO22" s="1211"/>
      <c r="BP22" s="1211"/>
      <c r="BQ22" s="1211"/>
      <c r="BR22" s="1211"/>
      <c r="BS22" s="1211"/>
      <c r="BT22" s="1212"/>
      <c r="BU22" s="1212"/>
      <c r="BV22" s="1212"/>
      <c r="BW22" s="1212"/>
      <c r="BX22" s="1212"/>
      <c r="BY22" s="1212"/>
      <c r="BZ22" s="1212"/>
      <c r="CA22" s="1212"/>
      <c r="CB22" s="1212"/>
      <c r="CC22" s="1212"/>
      <c r="CD22" s="1212"/>
      <c r="CE22" s="1212"/>
      <c r="CF22" s="1212"/>
      <c r="CG22" s="1212"/>
      <c r="CH22" s="1212"/>
      <c r="CI22" s="1212"/>
      <c r="CJ22" s="1212"/>
      <c r="CK22" s="1212"/>
      <c r="CL22" s="1211"/>
      <c r="CM22" s="1211"/>
      <c r="CN22" s="1211"/>
      <c r="CO22" s="1211"/>
      <c r="CP22" s="1211"/>
      <c r="CQ22" s="1211"/>
      <c r="CR22" s="1211"/>
      <c r="CS22" s="1211"/>
      <c r="CT22" s="1211"/>
      <c r="CU22" s="1211"/>
      <c r="CV22" s="1211"/>
      <c r="CW22" s="1211"/>
      <c r="CX22" s="1211"/>
      <c r="CY22" s="1212"/>
      <c r="CZ22" s="1212"/>
      <c r="DA22" s="1212"/>
      <c r="DB22" s="1212"/>
      <c r="DC22" s="1212"/>
      <c r="DD22" s="1212"/>
      <c r="DE22" s="1212"/>
      <c r="DF22" s="1212"/>
      <c r="DG22" s="1212"/>
      <c r="DH22" s="1212"/>
      <c r="DI22" s="1212"/>
      <c r="DJ22" s="1212"/>
      <c r="DK22" s="1211"/>
      <c r="DL22" s="1211"/>
      <c r="DM22" s="1211"/>
      <c r="DN22" s="1211"/>
      <c r="DO22" s="1211"/>
      <c r="DP22" s="1211"/>
      <c r="DQ22" s="1211"/>
      <c r="DR22" s="1211"/>
      <c r="DS22" s="1211"/>
      <c r="DT22" s="1211"/>
      <c r="DU22" s="1211"/>
      <c r="DV22" s="1211"/>
      <c r="DW22" s="1211"/>
      <c r="DX22" s="1211"/>
      <c r="DY22" s="1211"/>
      <c r="DZ22" s="1211"/>
      <c r="EA22" s="1211"/>
      <c r="EB22" s="1211"/>
      <c r="EC22" s="1211"/>
      <c r="ED22" s="1211"/>
      <c r="EE22" s="1211"/>
      <c r="EF22" s="1211"/>
      <c r="EG22" s="1211"/>
      <c r="EH22" s="1211"/>
      <c r="EI22" s="1211"/>
      <c r="EJ22" s="1211"/>
      <c r="EK22" s="1211"/>
      <c r="EL22" s="1211"/>
      <c r="EM22" s="1211"/>
      <c r="EN22" s="1211"/>
      <c r="EO22" s="1211"/>
      <c r="EP22" s="1211"/>
      <c r="EQ22" s="1211"/>
      <c r="ER22" s="1211"/>
      <c r="ES22" s="1211"/>
      <c r="ET22" s="1211"/>
      <c r="EU22" s="1211"/>
      <c r="EV22" s="1211"/>
      <c r="EW22" s="1211"/>
      <c r="EX22" s="1211"/>
      <c r="EY22" s="1211"/>
      <c r="EZ22" s="1211"/>
      <c r="FA22" s="1211"/>
      <c r="FB22" s="1211"/>
      <c r="FC22" s="1211"/>
      <c r="FD22" s="1211"/>
      <c r="FE22" s="1211"/>
      <c r="FF22" s="1211"/>
      <c r="FG22" s="1211"/>
      <c r="FH22" s="1211"/>
      <c r="FI22" s="1211"/>
      <c r="FJ22" s="1211"/>
      <c r="FK22" s="1211"/>
      <c r="FL22" s="1211"/>
      <c r="FM22" s="1211"/>
      <c r="FN22" s="1211"/>
      <c r="FO22" s="1211"/>
      <c r="FP22" s="1211"/>
      <c r="FQ22" s="1211"/>
      <c r="FR22" s="1211"/>
      <c r="FS22" s="1211"/>
      <c r="FT22" s="1211"/>
      <c r="FU22" s="1211"/>
      <c r="FV22" s="1211"/>
      <c r="FW22" s="1211"/>
      <c r="FX22" s="1202"/>
      <c r="FY22" s="925"/>
      <c r="FZ22" s="925"/>
      <c r="GA22" s="925"/>
      <c r="GB22" s="925"/>
    </row>
    <row s="925" customFormat="1" customHeight="1" ht="12">
      <c r="A23" s="925" t="s">
        <v>1042</v>
      </c>
      <c r="B23" s="940"/>
      <c r="C23" s="925"/>
      <c r="D23" s="925"/>
      <c r="E23" s="925"/>
      <c r="F23" s="2697"/>
      <c r="G23" s="2698" t="s">
        <v>1198</v>
      </c>
      <c r="H23" s="2699"/>
      <c r="I23" s="2700"/>
      <c r="J23" s="2701"/>
      <c r="K23" s="2702"/>
      <c r="L23" s="2703"/>
      <c r="M23" s="2704"/>
      <c r="N23" s="2705"/>
      <c r="O23" s="2706"/>
      <c r="P23" s="2707"/>
      <c r="Q23" s="2708"/>
      <c r="R23" s="2709"/>
      <c r="S23" s="2710"/>
      <c r="T23" s="2711"/>
      <c r="U23" s="2712"/>
      <c r="V23" s="2713"/>
      <c r="W23" s="2714"/>
      <c r="X23" s="2715"/>
      <c r="Y23" s="2716"/>
      <c r="Z23" s="2717"/>
      <c r="AA23" s="2718"/>
      <c r="AB23" s="2719"/>
      <c r="AC23" s="2720"/>
      <c r="AD23" s="2721"/>
      <c r="AE23" s="2722"/>
      <c r="AF23" s="2723"/>
      <c r="AG23" s="2724"/>
      <c r="AH23" s="2725"/>
      <c r="AI23" s="2726"/>
      <c r="AJ23" s="2727"/>
      <c r="AK23" s="2728"/>
      <c r="AL23" s="2729"/>
      <c r="AM23" s="2730"/>
      <c r="AN23" s="2731"/>
      <c r="AO23" s="2732"/>
      <c r="AP23" s="2733"/>
      <c r="AQ23" s="2734"/>
      <c r="AR23" s="2735"/>
      <c r="AS23" s="2736"/>
      <c r="AT23" s="2737"/>
      <c r="AU23" s="2738"/>
      <c r="AV23" s="2739"/>
      <c r="AW23" s="2740"/>
      <c r="AX23" s="2741"/>
      <c r="AY23" s="2742"/>
      <c r="AZ23" s="2743"/>
      <c r="BA23" s="2744"/>
      <c r="BB23" s="2745"/>
      <c r="BC23" s="2746"/>
      <c r="BD23" s="2747"/>
      <c r="BE23" s="2748"/>
      <c r="BF23" s="2749"/>
      <c r="BG23" s="2750"/>
      <c r="BH23" s="2751"/>
      <c r="BI23" s="2752"/>
      <c r="BJ23" s="2753"/>
      <c r="BK23" s="2754"/>
      <c r="BL23" s="2755"/>
      <c r="BM23" s="2756"/>
      <c r="BN23" s="2757"/>
      <c r="BO23" s="2758"/>
      <c r="BP23" s="2759"/>
      <c r="BQ23" s="2760"/>
      <c r="BR23" s="2761"/>
      <c r="BS23" s="2762"/>
      <c r="BT23" s="2763"/>
      <c r="BU23" s="2764"/>
      <c r="BV23" s="2765"/>
      <c r="BW23" s="2766"/>
      <c r="BX23" s="2767"/>
      <c r="BY23" s="2768"/>
      <c r="BZ23" s="2769"/>
      <c r="CA23" s="2770"/>
      <c r="CB23" s="2771"/>
      <c r="CC23" s="2772"/>
      <c r="CD23" s="2773"/>
      <c r="CE23" s="2774"/>
      <c r="CF23" s="2775"/>
      <c r="CG23" s="2776"/>
      <c r="CH23" s="2777"/>
      <c r="CI23" s="2778"/>
      <c r="CJ23" s="2779"/>
      <c r="CK23" s="2780"/>
      <c r="CL23" s="2781"/>
      <c r="CM23" s="2782"/>
      <c r="CN23" s="2783"/>
      <c r="CO23" s="2784"/>
      <c r="CP23" s="2785"/>
      <c r="CQ23" s="2786"/>
      <c r="CR23" s="2787"/>
      <c r="CS23" s="2788"/>
      <c r="CT23" s="2789"/>
      <c r="CU23" s="2790"/>
      <c r="CV23" s="2791"/>
      <c r="CW23" s="2792"/>
      <c r="CX23" s="2793"/>
      <c r="CY23" s="2794"/>
      <c r="CZ23" s="2795"/>
      <c r="DA23" s="2796"/>
      <c r="DB23" s="2797"/>
      <c r="DC23" s="2798"/>
      <c r="DD23" s="2799"/>
      <c r="DE23" s="2800"/>
      <c r="DF23" s="2801"/>
      <c r="DG23" s="2802"/>
      <c r="DH23" s="2803"/>
      <c r="DI23" s="2804"/>
      <c r="DJ23" s="2805"/>
      <c r="DK23" s="2806"/>
      <c r="DL23" s="2807"/>
      <c r="DM23" s="2808"/>
      <c r="DN23" s="2809"/>
      <c r="DO23" s="2810"/>
      <c r="DP23" s="2811"/>
      <c r="DQ23" s="2812"/>
      <c r="DR23" s="2813"/>
      <c r="DS23" s="2814"/>
      <c r="DT23" s="2815"/>
      <c r="DU23" s="2816"/>
      <c r="DV23" s="2817"/>
      <c r="DW23" s="2818"/>
      <c r="DX23" s="2819"/>
      <c r="DY23" s="2820"/>
      <c r="DZ23" s="2821"/>
      <c r="EA23" s="2822"/>
      <c r="EB23" s="2823"/>
      <c r="EC23" s="2824"/>
      <c r="ED23" s="2825"/>
      <c r="EE23" s="2826"/>
      <c r="EF23" s="2827"/>
      <c r="EG23" s="2828"/>
      <c r="EH23" s="2829"/>
      <c r="EI23" s="2830"/>
      <c r="EJ23" s="2831"/>
      <c r="EK23" s="2832"/>
      <c r="EL23" s="2833"/>
      <c r="EM23" s="2834"/>
      <c r="EN23" s="2835"/>
      <c r="EO23" s="2836"/>
      <c r="EP23" s="2837"/>
      <c r="EQ23" s="2838"/>
      <c r="ER23" s="2839"/>
      <c r="ES23" s="2840"/>
      <c r="ET23" s="2841"/>
      <c r="EU23" s="2842"/>
      <c r="EV23" s="2843"/>
      <c r="EW23" s="2844"/>
      <c r="EX23" s="2845"/>
      <c r="EY23" s="2846"/>
      <c r="EZ23" s="2847"/>
      <c r="FA23" s="2848"/>
      <c r="FB23" s="2849"/>
      <c r="FC23" s="2850"/>
      <c r="FD23" s="2851"/>
      <c r="FE23" s="2852"/>
      <c r="FF23" s="2853"/>
      <c r="FG23" s="2854"/>
      <c r="FH23" s="2855"/>
      <c r="FI23" s="2856"/>
      <c r="FJ23" s="2857"/>
      <c r="FK23" s="2858"/>
      <c r="FL23" s="2859"/>
      <c r="FM23" s="2860"/>
      <c r="FN23" s="2861"/>
      <c r="FO23" s="2862"/>
      <c r="FP23" s="2863"/>
      <c r="FQ23" s="2864"/>
      <c r="FR23" s="2865"/>
      <c r="FS23" s="2866"/>
      <c r="FT23" s="2867"/>
      <c r="FU23" s="2868"/>
      <c r="FV23" s="2869"/>
      <c r="FW23" s="2870"/>
      <c r="FX23" s="1822"/>
      <c r="FY23" s="1062"/>
      <c r="FZ23" s="1062"/>
      <c r="GA23" s="1062"/>
      <c r="GB23" s="1062"/>
    </row>
    <row s="925" customFormat="1" customHeight="1" ht="12.75">
      <c r="A24" s="941"/>
      <c r="B24" s="941"/>
      <c r="C24" s="941"/>
      <c r="D24" s="941"/>
      <c r="E24" s="941"/>
      <c r="F24" s="939"/>
      <c r="G24" s="939"/>
      <c r="H24" s="939"/>
      <c r="I24" s="939"/>
      <c r="J24" s="939"/>
      <c r="K24" s="939"/>
      <c r="L24" s="939"/>
      <c r="M24" s="939"/>
      <c r="N24" s="939"/>
      <c r="O24" s="939"/>
      <c r="P24" s="939"/>
      <c r="Q24" s="939"/>
      <c r="R24" s="939"/>
      <c r="S24" s="942"/>
      <c r="T24" s="942"/>
      <c r="U24" s="939"/>
      <c r="V24" s="939"/>
      <c r="W24" s="939"/>
      <c r="X24" s="939"/>
      <c r="Y24" s="939"/>
      <c r="Z24" s="939"/>
      <c r="AA24" s="939"/>
      <c r="AB24" s="939"/>
      <c r="AC24" s="939"/>
      <c r="AD24" s="939"/>
      <c r="AE24" s="939"/>
      <c r="AF24" s="939"/>
      <c r="AG24" s="939"/>
      <c r="AH24" s="939"/>
      <c r="AI24" s="939"/>
      <c r="AJ24" s="939"/>
      <c r="AK24" s="939"/>
      <c r="AL24" s="939"/>
      <c r="AM24" s="939"/>
      <c r="AN24" s="939"/>
      <c r="AO24" s="939"/>
      <c r="AP24" s="939"/>
      <c r="AQ24" s="939"/>
      <c r="AR24" s="939"/>
      <c r="AS24" s="939"/>
      <c r="AT24" s="939"/>
      <c r="AU24" s="939"/>
      <c r="AV24" s="939"/>
      <c r="AW24" s="939"/>
      <c r="AX24" s="939"/>
      <c r="AY24" s="939"/>
      <c r="AZ24" s="939"/>
      <c r="BA24" s="939"/>
      <c r="BB24" s="939"/>
      <c r="BC24" s="939"/>
      <c r="BD24" s="939"/>
      <c r="BE24" s="939"/>
      <c r="BF24" s="939"/>
      <c r="BG24" s="939"/>
      <c r="BH24" s="939"/>
      <c r="BI24" s="939"/>
      <c r="BJ24" s="939"/>
      <c r="BK24" s="939"/>
      <c r="BL24" s="939"/>
      <c r="BM24" s="939"/>
      <c r="BN24" s="939"/>
      <c r="BO24" s="939"/>
      <c r="BP24" s="939"/>
      <c r="BQ24" s="939"/>
      <c r="BR24" s="939"/>
      <c r="BS24" s="939"/>
      <c r="BT24" s="939"/>
      <c r="BU24" s="939"/>
      <c r="BV24" s="939"/>
      <c r="BW24" s="939"/>
      <c r="BX24" s="939"/>
      <c r="BY24" s="939"/>
      <c r="BZ24" s="939"/>
      <c r="CA24" s="939"/>
      <c r="CB24" s="939"/>
      <c r="CC24" s="939"/>
      <c r="CD24" s="939"/>
      <c r="CE24" s="939"/>
      <c r="CF24" s="939"/>
      <c r="CG24" s="939"/>
      <c r="CH24" s="939"/>
      <c r="CI24" s="939"/>
      <c r="CJ24" s="939"/>
      <c r="CK24" s="939"/>
      <c r="CL24" s="939"/>
      <c r="CM24" s="939"/>
      <c r="CN24" s="939"/>
      <c r="CO24" s="939"/>
      <c r="CP24" s="939"/>
      <c r="CQ24" s="939"/>
      <c r="CR24" s="939"/>
      <c r="CS24" s="939"/>
      <c r="CT24" s="939"/>
      <c r="CU24" s="939"/>
      <c r="CV24" s="939"/>
      <c r="CW24" s="939"/>
      <c r="CX24" s="939"/>
      <c r="CY24" s="939"/>
      <c r="CZ24" s="939"/>
      <c r="DA24" s="939"/>
      <c r="DB24" s="939"/>
      <c r="DC24" s="939"/>
      <c r="DD24" s="939"/>
      <c r="DE24" s="939"/>
      <c r="DF24" s="939"/>
      <c r="DG24" s="939"/>
      <c r="DH24" s="939"/>
      <c r="DI24" s="939"/>
      <c r="DJ24" s="939"/>
      <c r="DK24" s="939"/>
      <c r="DL24" s="939"/>
      <c r="DM24" s="939"/>
      <c r="DN24" s="939"/>
      <c r="DO24" s="939"/>
      <c r="DP24" s="939"/>
      <c r="DQ24" s="939"/>
      <c r="DR24" s="939"/>
      <c r="DS24" s="939"/>
      <c r="DT24" s="939"/>
      <c r="DU24" s="939"/>
      <c r="DV24" s="939"/>
      <c r="DW24" s="939"/>
      <c r="DX24" s="939"/>
      <c r="DY24" s="939"/>
      <c r="DZ24" s="939"/>
      <c r="EA24" s="939"/>
      <c r="EB24" s="939"/>
      <c r="EC24" s="939"/>
      <c r="ED24" s="939"/>
      <c r="EE24" s="939"/>
      <c r="EF24" s="939"/>
      <c r="EG24" s="939"/>
      <c r="EH24" s="939"/>
      <c r="EI24" s="939"/>
      <c r="EJ24" s="939"/>
      <c r="EK24" s="939"/>
      <c r="EL24" s="939"/>
      <c r="EM24" s="939"/>
      <c r="EN24" s="939"/>
      <c r="EO24" s="939"/>
      <c r="EP24" s="939"/>
      <c r="EQ24" s="939"/>
      <c r="ER24" s="939"/>
      <c r="ES24" s="939"/>
      <c r="ET24" s="939"/>
      <c r="EU24" s="939"/>
      <c r="EV24" s="939"/>
      <c r="EW24" s="939"/>
      <c r="EX24" s="939"/>
      <c r="EY24" s="939"/>
      <c r="EZ24" s="939"/>
      <c r="FA24" s="939"/>
      <c r="FB24" s="939"/>
      <c r="FC24" s="939"/>
      <c r="FD24" s="939"/>
      <c r="FE24" s="939"/>
      <c r="FF24" s="939"/>
      <c r="FG24" s="939"/>
      <c r="FH24" s="939"/>
      <c r="FI24" s="939"/>
      <c r="FJ24" s="939"/>
      <c r="FK24" s="939"/>
      <c r="FL24" s="939"/>
      <c r="FM24" s="939"/>
      <c r="FN24" s="939"/>
      <c r="FO24" s="939"/>
      <c r="FP24" s="939"/>
      <c r="FQ24" s="939"/>
      <c r="FR24" s="939"/>
      <c r="FS24" s="939"/>
      <c r="FT24" s="939"/>
      <c r="FU24" s="939"/>
      <c r="FV24" s="939"/>
      <c r="FW24" s="939"/>
      <c r="FX24" s="941"/>
      <c r="FY24" s="941"/>
      <c r="FZ24" s="941"/>
      <c r="GA24" s="941"/>
      <c r="GB24" s="941"/>
      <c r="GC24" s="922">
        <v>12</v>
      </c>
    </row>
    <row s="925" customFormat="1" customHeight="1" ht="12.75">
      <c r="A25" s="941"/>
      <c r="B25" s="941"/>
      <c r="C25" s="941"/>
      <c r="D25" s="941"/>
      <c r="E25" s="941"/>
      <c r="FX25" s="941"/>
      <c r="FY25" s="941"/>
      <c r="FZ25" s="941"/>
      <c r="GA25" s="941"/>
      <c r="GB25" s="941"/>
      <c r="GC25" s="922">
        <v>12</v>
      </c>
    </row>
    <row s="1063" customFormat="1" customHeight="1" ht="12.75">
      <c r="A26" s="1062"/>
      <c r="B26" s="1062"/>
      <c r="C26" s="1062"/>
      <c r="D26" s="1062"/>
      <c r="E26" s="1062"/>
      <c r="O26" s="1064"/>
      <c r="P26" s="1064"/>
      <c r="Q26" s="1064"/>
      <c r="R26" s="1064"/>
      <c r="S26" s="1064"/>
      <c r="T26" s="1064"/>
      <c r="U26" s="1064"/>
      <c r="V26" s="1064"/>
      <c r="W26" s="1064"/>
      <c r="X26" s="1064"/>
      <c r="Y26" s="1064"/>
      <c r="Z26" s="1064"/>
      <c r="AA26" s="1064"/>
      <c r="AB26" s="1064"/>
      <c r="AC26" s="1064"/>
      <c r="AD26" s="1064"/>
      <c r="AE26" s="1064"/>
      <c r="AF26" s="1064"/>
      <c r="AG26" s="1064"/>
      <c r="AH26" s="1064"/>
      <c r="AI26" s="1064"/>
      <c r="AJ26" s="1064"/>
      <c r="AK26" s="1064"/>
      <c r="AL26" s="1064"/>
      <c r="AM26" s="1064"/>
      <c r="AN26" s="1064"/>
      <c r="AO26" s="1064"/>
      <c r="AP26" s="1064"/>
      <c r="AQ26" s="1064"/>
      <c r="AR26" s="1064"/>
      <c r="AS26" s="1064"/>
      <c r="AT26" s="1064"/>
      <c r="AU26" s="1064"/>
      <c r="AV26" s="1064"/>
      <c r="AW26" s="1064"/>
      <c r="AX26" s="1064"/>
      <c r="AY26" s="1064"/>
      <c r="AZ26" s="1064"/>
      <c r="BA26" s="1064"/>
      <c r="BB26" s="1064"/>
      <c r="BC26" s="1064"/>
      <c r="BD26" s="1064"/>
      <c r="BE26" s="1064"/>
      <c r="BF26" s="1064"/>
      <c r="BG26" s="1064"/>
      <c r="BH26" s="1064"/>
      <c r="BI26" s="1064"/>
      <c r="BJ26" s="1064"/>
      <c r="BK26" s="1064"/>
      <c r="BL26" s="1064"/>
      <c r="BM26" s="1064"/>
      <c r="BN26" s="1064"/>
      <c r="BO26" s="1064"/>
      <c r="BP26" s="1064"/>
      <c r="BQ26" s="1064"/>
      <c r="BR26" s="1064"/>
      <c r="BS26" s="1064"/>
      <c r="BT26" s="1065"/>
      <c r="BU26" s="1065"/>
      <c r="BV26" s="1065"/>
      <c r="BW26" s="1065"/>
      <c r="BX26" s="1065"/>
      <c r="BY26" s="1065"/>
      <c r="BZ26" s="1065"/>
      <c r="CA26" s="1065"/>
      <c r="CB26" s="1065"/>
      <c r="CC26" s="1065"/>
      <c r="CD26" s="1065"/>
      <c r="CE26" s="1065"/>
      <c r="CF26" s="1065"/>
      <c r="CG26" s="1065"/>
      <c r="CH26" s="1065"/>
      <c r="CI26" s="1065"/>
      <c r="CJ26" s="1065"/>
      <c r="CK26" s="1065"/>
      <c r="CL26" s="1065"/>
      <c r="CM26" s="1065"/>
      <c r="CN26" s="1065"/>
      <c r="CO26" s="1065"/>
      <c r="CP26" s="1065"/>
      <c r="CQ26" s="1065"/>
      <c r="CR26" s="1065"/>
      <c r="CS26" s="1065"/>
      <c r="CT26" s="1065"/>
      <c r="CU26" s="1065"/>
      <c r="CV26" s="1065"/>
      <c r="CW26" s="1065"/>
      <c r="CX26" s="1065"/>
      <c r="CY26" s="1065"/>
      <c r="CZ26" s="1065"/>
      <c r="DA26" s="1065"/>
      <c r="DB26" s="1065"/>
      <c r="DC26" s="1065"/>
      <c r="DD26" s="1065"/>
      <c r="DE26" s="1065"/>
      <c r="DF26" s="1065"/>
      <c r="DG26" s="1065"/>
      <c r="DH26" s="1065"/>
      <c r="DI26" s="1065"/>
      <c r="DJ26" s="1065"/>
      <c r="DK26" s="1065"/>
      <c r="DL26" s="1065"/>
      <c r="DM26" s="1065"/>
      <c r="DN26" s="1065"/>
      <c r="DO26" s="1065"/>
      <c r="DP26" s="1065"/>
      <c r="DQ26" s="1065"/>
      <c r="DR26" s="1065"/>
      <c r="DS26" s="1065"/>
      <c r="DT26" s="1065"/>
      <c r="DU26" s="1065"/>
      <c r="DV26" s="1065"/>
      <c r="DW26" s="1065"/>
      <c r="DX26" s="1065"/>
      <c r="FX26" s="1062"/>
      <c r="FY26" s="1062"/>
      <c r="FZ26" s="1062"/>
      <c r="GA26" s="1062"/>
      <c r="GB26" s="1062"/>
      <c r="GC26" s="1063">
        <v>12</v>
      </c>
    </row>
    <row customHeight="1" ht="12.75">
      <c r="S27" s="938"/>
      <c r="T27" s="938"/>
      <c r="U27" s="938"/>
      <c r="V27" s="938"/>
      <c r="W27" s="938"/>
      <c r="X27" s="938"/>
      <c r="Y27" s="938"/>
      <c r="Z27" s="938"/>
      <c r="AA27" s="938"/>
      <c r="AB27" s="938"/>
      <c r="FX27" s="938"/>
      <c r="FY27" s="938"/>
      <c r="FZ27" s="938"/>
      <c r="GA27" s="938"/>
      <c r="GB27" s="938"/>
      <c r="GC27" s="926">
        <v>12</v>
      </c>
    </row>
    <row customHeight="1" ht="12" hidden="1">
      <c r="A28" s="926" t="s">
        <v>83</v>
      </c>
      <c r="B28" s="936">
        <v>0</v>
      </c>
      <c r="C28" s="926">
        <v>0</v>
      </c>
      <c r="D28" s="926">
        <v>0</v>
      </c>
      <c r="E28" s="926">
        <v>3</v>
      </c>
      <c r="F28" s="926">
        <v>6</v>
      </c>
      <c r="G28" s="926">
        <v>18</v>
      </c>
      <c r="H28" s="926">
        <v>27</v>
      </c>
      <c r="I28" s="926">
        <v>18</v>
      </c>
      <c r="J28" s="926">
        <v>0</v>
      </c>
      <c r="K28" s="926">
        <v>0</v>
      </c>
      <c r="L28" s="926">
        <v>0</v>
      </c>
      <c r="M28" s="926">
        <v>0</v>
      </c>
      <c r="N28" s="926">
        <v>0</v>
      </c>
      <c r="O28" s="926">
        <v>0</v>
      </c>
      <c r="P28" s="926">
        <v>0</v>
      </c>
      <c r="Q28" s="926">
        <v>0</v>
      </c>
      <c r="R28" s="926">
        <v>0</v>
      </c>
      <c r="S28" s="926">
        <v>0</v>
      </c>
      <c r="T28" s="926">
        <v>0</v>
      </c>
      <c r="U28" s="926">
        <v>0</v>
      </c>
      <c r="V28" s="926">
        <v>0</v>
      </c>
      <c r="W28" s="926">
        <v>0</v>
      </c>
      <c r="X28" s="926">
        <v>0</v>
      </c>
      <c r="Y28" s="926">
        <v>0</v>
      </c>
      <c r="Z28" s="926">
        <v>0</v>
      </c>
      <c r="AA28" s="926">
        <v>0</v>
      </c>
      <c r="AB28" s="926">
        <v>0</v>
      </c>
      <c r="AC28" s="926">
        <v>0</v>
      </c>
      <c r="AD28" s="926">
        <v>0</v>
      </c>
      <c r="AE28" s="926">
        <v>0</v>
      </c>
      <c r="AF28" s="926">
        <v>0</v>
      </c>
      <c r="AG28" s="926">
        <v>0</v>
      </c>
      <c r="AH28" s="926">
        <v>0</v>
      </c>
      <c r="AI28" s="926">
        <v>0</v>
      </c>
      <c r="AJ28" s="926">
        <v>0</v>
      </c>
      <c r="AK28" s="926">
        <v>0</v>
      </c>
      <c r="AL28" s="926">
        <v>0</v>
      </c>
      <c r="AM28" s="926">
        <v>0</v>
      </c>
      <c r="AN28" s="926">
        <v>0</v>
      </c>
      <c r="AO28" s="926">
        <v>0</v>
      </c>
      <c r="AP28" s="926">
        <v>0</v>
      </c>
      <c r="AQ28" s="926">
        <v>0</v>
      </c>
      <c r="AR28" s="926">
        <v>0</v>
      </c>
      <c r="AS28" s="926">
        <v>0</v>
      </c>
      <c r="AT28" s="926">
        <v>0</v>
      </c>
      <c r="AU28" s="926">
        <v>0</v>
      </c>
      <c r="AV28" s="926">
        <v>0</v>
      </c>
      <c r="AW28" s="926">
        <v>0</v>
      </c>
      <c r="AX28" s="926">
        <v>0</v>
      </c>
      <c r="AY28" s="926">
        <v>0</v>
      </c>
      <c r="AZ28" s="926">
        <v>0</v>
      </c>
      <c r="BA28" s="926">
        <v>0</v>
      </c>
      <c r="BB28" s="926">
        <v>0</v>
      </c>
      <c r="BC28" s="926">
        <v>0</v>
      </c>
      <c r="BD28" s="926">
        <v>0</v>
      </c>
      <c r="BE28" s="926">
        <v>0</v>
      </c>
      <c r="BF28" s="926">
        <v>0</v>
      </c>
      <c r="BG28" s="926">
        <v>0</v>
      </c>
      <c r="BH28" s="926">
        <v>0</v>
      </c>
      <c r="BI28" s="926">
        <v>0</v>
      </c>
      <c r="BJ28" s="926">
        <v>0</v>
      </c>
      <c r="BK28" s="926">
        <v>0</v>
      </c>
      <c r="BL28" s="926">
        <v>0</v>
      </c>
      <c r="BM28" s="926">
        <v>0</v>
      </c>
      <c r="BN28" s="926">
        <v>0</v>
      </c>
      <c r="BO28" s="926">
        <v>0</v>
      </c>
      <c r="BP28" s="926">
        <v>0</v>
      </c>
      <c r="BQ28" s="926">
        <v>0</v>
      </c>
      <c r="BR28" s="926">
        <v>0</v>
      </c>
      <c r="BS28" s="926">
        <v>0</v>
      </c>
      <c r="BT28" s="926">
        <v>0</v>
      </c>
      <c r="BU28" s="926">
        <v>0</v>
      </c>
      <c r="BV28" s="926">
        <v>0</v>
      </c>
      <c r="BW28" s="926">
        <v>0</v>
      </c>
      <c r="BX28" s="926">
        <v>0</v>
      </c>
      <c r="BY28" s="926">
        <v>0</v>
      </c>
      <c r="BZ28" s="926">
        <v>0</v>
      </c>
      <c r="CA28" s="926">
        <v>0</v>
      </c>
      <c r="CB28" s="926">
        <v>0</v>
      </c>
      <c r="CC28" s="926">
        <v>0</v>
      </c>
      <c r="CD28" s="926">
        <v>0</v>
      </c>
      <c r="CE28" s="926">
        <v>0</v>
      </c>
      <c r="CF28" s="926">
        <v>0</v>
      </c>
      <c r="CG28" s="926">
        <v>0</v>
      </c>
      <c r="CH28" s="926">
        <v>0</v>
      </c>
      <c r="CI28" s="926">
        <v>0</v>
      </c>
      <c r="CJ28" s="926">
        <v>0</v>
      </c>
      <c r="CK28" s="926">
        <v>0</v>
      </c>
      <c r="CL28" s="926">
        <v>0</v>
      </c>
      <c r="CM28" s="926">
        <v>0</v>
      </c>
      <c r="CN28" s="926">
        <v>0</v>
      </c>
      <c r="CO28" s="926">
        <v>0</v>
      </c>
      <c r="CP28" s="926">
        <v>0</v>
      </c>
      <c r="CQ28" s="926">
        <v>0</v>
      </c>
      <c r="CR28" s="926">
        <v>0</v>
      </c>
      <c r="CS28" s="926">
        <v>0</v>
      </c>
      <c r="CT28" s="926">
        <v>0</v>
      </c>
      <c r="CU28" s="926">
        <v>0</v>
      </c>
      <c r="CV28" s="926">
        <v>0</v>
      </c>
      <c r="CW28" s="926">
        <v>0</v>
      </c>
      <c r="CX28" s="926">
        <v>0</v>
      </c>
      <c r="CY28" s="926">
        <v>0</v>
      </c>
      <c r="CZ28" s="926">
        <v>0</v>
      </c>
      <c r="DA28" s="926">
        <v>0</v>
      </c>
      <c r="DB28" s="926">
        <v>0</v>
      </c>
      <c r="DC28" s="926">
        <v>0</v>
      </c>
      <c r="DD28" s="926">
        <v>0</v>
      </c>
      <c r="DE28" s="926">
        <v>0</v>
      </c>
      <c r="DF28" s="926">
        <v>0</v>
      </c>
      <c r="DG28" s="926">
        <v>0</v>
      </c>
      <c r="DH28" s="926">
        <v>0</v>
      </c>
      <c r="DI28" s="926">
        <v>0</v>
      </c>
      <c r="DJ28" s="926">
        <v>0</v>
      </c>
      <c r="DK28" s="926">
        <v>0</v>
      </c>
      <c r="DL28" s="926">
        <v>0</v>
      </c>
      <c r="DM28" s="926">
        <v>0</v>
      </c>
      <c r="DN28" s="926">
        <v>0</v>
      </c>
      <c r="DO28" s="926">
        <v>0</v>
      </c>
      <c r="DP28" s="926">
        <v>0</v>
      </c>
      <c r="DQ28" s="926">
        <v>0</v>
      </c>
      <c r="DR28" s="926">
        <v>0</v>
      </c>
      <c r="DS28" s="926">
        <v>0</v>
      </c>
      <c r="DT28" s="926">
        <v>0</v>
      </c>
      <c r="DU28" s="926">
        <v>0</v>
      </c>
      <c r="DV28" s="926">
        <v>0</v>
      </c>
      <c r="DW28" s="926">
        <v>0</v>
      </c>
      <c r="DX28" s="926">
        <v>0</v>
      </c>
      <c r="DY28" s="926">
        <v>0</v>
      </c>
      <c r="DZ28" s="926">
        <v>0</v>
      </c>
      <c r="EA28" s="926">
        <v>0</v>
      </c>
      <c r="EB28" s="926">
        <v>0</v>
      </c>
      <c r="EC28" s="926">
        <v>0</v>
      </c>
      <c r="ED28" s="926">
        <v>0</v>
      </c>
      <c r="EE28" s="926">
        <v>0</v>
      </c>
      <c r="EF28" s="926">
        <v>0</v>
      </c>
      <c r="EG28" s="926">
        <v>0</v>
      </c>
      <c r="EH28" s="926">
        <v>0</v>
      </c>
      <c r="EI28" s="926">
        <v>0</v>
      </c>
      <c r="EJ28" s="926">
        <v>0</v>
      </c>
      <c r="EK28" s="926">
        <v>0</v>
      </c>
      <c r="EL28" s="926">
        <v>0</v>
      </c>
      <c r="EM28" s="926">
        <v>0</v>
      </c>
      <c r="EN28" s="926">
        <v>0</v>
      </c>
      <c r="EO28" s="926">
        <v>0</v>
      </c>
      <c r="EP28" s="926">
        <v>0</v>
      </c>
      <c r="EQ28" s="926">
        <v>0</v>
      </c>
      <c r="ER28" s="926">
        <v>0</v>
      </c>
      <c r="ES28" s="926">
        <v>0</v>
      </c>
      <c r="ET28" s="926">
        <v>0</v>
      </c>
      <c r="EU28" s="926">
        <v>0</v>
      </c>
      <c r="EV28" s="926">
        <v>0</v>
      </c>
      <c r="EW28" s="926">
        <v>0</v>
      </c>
      <c r="EX28" s="926">
        <v>0</v>
      </c>
      <c r="EY28" s="926">
        <v>0</v>
      </c>
      <c r="EZ28" s="926">
        <v>0</v>
      </c>
      <c r="FA28" s="926">
        <v>0</v>
      </c>
      <c r="FB28" s="926">
        <v>0</v>
      </c>
      <c r="FC28" s="926">
        <v>0</v>
      </c>
      <c r="FD28" s="926">
        <v>0</v>
      </c>
      <c r="FE28" s="926">
        <v>0</v>
      </c>
      <c r="FF28" s="926">
        <v>0</v>
      </c>
      <c r="FG28" s="926">
        <v>0</v>
      </c>
      <c r="FH28" s="926">
        <v>0</v>
      </c>
      <c r="FI28" s="926">
        <v>0</v>
      </c>
      <c r="FJ28" s="926">
        <v>0</v>
      </c>
      <c r="FK28" s="926">
        <v>0</v>
      </c>
      <c r="FL28" s="926">
        <v>0</v>
      </c>
      <c r="FM28" s="926">
        <v>0</v>
      </c>
      <c r="FN28" s="926">
        <v>0</v>
      </c>
      <c r="FO28" s="926">
        <v>0</v>
      </c>
      <c r="FP28" s="926">
        <v>0</v>
      </c>
      <c r="FQ28" s="926">
        <v>0</v>
      </c>
      <c r="FR28" s="926">
        <v>0</v>
      </c>
      <c r="FS28" s="926">
        <v>0</v>
      </c>
      <c r="FT28" s="926">
        <v>0</v>
      </c>
      <c r="FU28" s="926">
        <v>0</v>
      </c>
      <c r="FV28" s="926">
        <v>0</v>
      </c>
      <c r="FW28" s="926">
        <v>0</v>
      </c>
      <c r="FX28" s="926">
        <v>8</v>
      </c>
      <c r="FY28" s="926">
        <v>8</v>
      </c>
      <c r="FZ28" s="926">
        <v>8</v>
      </c>
      <c r="GA28" s="926">
        <v>8</v>
      </c>
      <c r="GB28" s="926">
        <v>8</v>
      </c>
      <c r="GC28"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61ED8-67C8-29B9-0B58-830F732EB108}"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5" t="s">
        <v>121</v>
      </c>
      <c r="D2" s="539"/>
      <c r="E2" s="663"/>
      <c r="F2" s="1760" t="str">
        <f>IF(TEMPLATE_SPHERE="HEAT","Гкал/час","тыс. куб. м/сутки")</f>
        <v>Гкал/час</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6"/>
      <c r="F5" s="2256"/>
      <c r="G5" s="2256"/>
      <c r="H5" s="2256"/>
      <c r="I5" s="2267"/>
      <c r="J5" s="2267"/>
      <c r="K5" s="537"/>
      <c r="U5" s="505">
        <v>38</v>
      </c>
    </row>
    <row customHeight="1" ht="15.75">
      <c r="C6" s="176"/>
      <c r="D6" s="2195" t="str">
        <f>IF(org=0,"Не определено",org)</f>
        <v>Муниципальное унитарное предприятие "Невельские коммунальные сети"</v>
      </c>
      <c r="E6" s="2195"/>
      <c r="F6" s="2195"/>
      <c r="G6" s="2195"/>
      <c r="H6" s="2195"/>
      <c r="I6" s="2268"/>
      <c r="J6" s="2268"/>
      <c r="K6" s="537"/>
      <c r="U6" s="505">
        <v>15</v>
      </c>
    </row>
    <row s="1635" customFormat="1" customHeight="1" ht="15.75">
      <c r="A7" s="759"/>
      <c r="C7" s="176"/>
      <c r="D7" s="676"/>
      <c r="E7" s="676"/>
      <c r="F7" s="676"/>
      <c r="G7" s="676"/>
      <c r="H7" s="752"/>
      <c r="I7" s="2426" t="s">
        <v>22</v>
      </c>
      <c r="J7" s="2426" t="s">
        <v>22</v>
      </c>
      <c r="K7" s="537"/>
      <c r="T7" s="675"/>
      <c r="U7" s="758">
        <v>15</v>
      </c>
    </row>
    <row customHeight="1" ht="1.05">
      <c r="C8" s="176"/>
      <c r="D8" s="509"/>
      <c r="E8" s="509"/>
      <c r="F8" s="509"/>
      <c r="G8" s="509"/>
      <c r="H8" s="537" t="s">
        <v>118</v>
      </c>
      <c r="I8" s="1635" t="s">
        <v>123</v>
      </c>
      <c r="J8" s="1635" t="s">
        <v>125</v>
      </c>
      <c r="U8" s="505">
        <v>1</v>
      </c>
    </row>
    <row customHeight="1" ht="15.75">
      <c r="C9" s="176"/>
      <c r="D9" s="711"/>
      <c r="E9" s="2386" t="s">
        <v>106</v>
      </c>
      <c r="F9" s="2387"/>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414" t="str">
        <f>IF(I8="","",INDEX(DIFFERENTIATION_UNMERGE_VD,MATCH(I8,DIFFERENTIATION_ID_DIFF,0)))</f>
        <v>Производство тепловой энергии. Некомбинированная выработка</v>
      </c>
      <c r="J9" s="2414" t="str">
        <f>IF(J8="","",INDEX(DIFFERENTIATION_UNMERGE_VD,MATCH(J8,DIFFERENTIATION_ID_DIFF,0)))</f>
        <v>Производство тепловой энергии. Некомбинированная выработка</v>
      </c>
      <c r="K9" s="2146" t="s">
        <v>306</v>
      </c>
      <c r="U9" s="505">
        <v>15</v>
      </c>
    </row>
    <row s="1635" customFormat="1" customHeight="1" ht="15.75">
      <c r="A10" s="759"/>
      <c r="C10" s="176"/>
      <c r="D10" s="711"/>
      <c r="E10" s="2386" t="s">
        <v>567</v>
      </c>
      <c r="F10" s="2387"/>
      <c r="G10" s="816" t="str">
        <f>IF(G8="","",INDEX(DIFFERENTIATION_UNMERGE_AREA,MATCH(G8,DIFFERENTIATION_ID_DIFF,0)))</f>
        <v/>
      </c>
      <c r="H10" s="816" t="str">
        <f>IF(H8="","",INDEX(DIFFERENTIATION_UNMERGE_AREA,MATCH(H8,DIFFERENTIATION_ID_DIFF,0)))</f>
        <v>Территория 1</v>
      </c>
      <c r="I10" s="2414" t="str">
        <f>IF(I8="","",INDEX(DIFFERENTIATION_UNMERGE_AREA,MATCH(I8,DIFFERENTIATION_ID_DIFF,0)))</f>
        <v>Территория 1</v>
      </c>
      <c r="J10" s="2414" t="str">
        <f>IF(J8="","",INDEX(DIFFERENTIATION_UNMERGE_AREA,MATCH(J8,DIFFERENTIATION_ID_DIFF,0)))</f>
        <v>Территория 1</v>
      </c>
      <c r="K10" s="2146"/>
      <c r="T10" s="675"/>
      <c r="U10" s="758">
        <v>15</v>
      </c>
    </row>
    <row s="1635" customFormat="1" customHeight="1" ht="15.75">
      <c r="A11" s="759"/>
      <c r="C11" s="176"/>
      <c r="D11" s="711"/>
      <c r="E11" s="2386" t="s">
        <v>568</v>
      </c>
      <c r="F11" s="2387"/>
      <c r="G11" s="816" t="str">
        <f>IF(G8="","",INDEX(DIFFERENTIATION_UNMERGE_SYSTEM,MATCH(G8,DIFFERENTIATION_ID_DIFF,0)))</f>
        <v/>
      </c>
      <c r="H11" s="816" t="str">
        <f>IF(H8="","",INDEX(DIFFERENTIATION_UNMERGE_SYSTEM,MATCH(H8,DIFFERENTIATION_ID_DIFF,0)))</f>
        <v>Теплоснабжение за исключением сел Горнозаводск и Шебунино</v>
      </c>
      <c r="I11" s="2414" t="str">
        <f>IF(I8="","",INDEX(DIFFERENTIATION_UNMERGE_SYSTEM,MATCH(I8,DIFFERENTIATION_ID_DIFF,0)))</f>
        <v>Теплоснабжение с.Горнозаводск</v>
      </c>
      <c r="J11" s="2414" t="str">
        <f>IF(J8="","",INDEX(DIFFERENTIATION_UNMERGE_SYSTEM,MATCH(J8,DIFFERENTIATION_ID_DIFF,0)))</f>
        <v>Теплоснабжение с.Шебунино</v>
      </c>
      <c r="K11" s="2146"/>
      <c r="T11" s="675"/>
      <c r="U11" s="758">
        <v>15</v>
      </c>
    </row>
    <row s="1635" customFormat="1" customHeight="1" ht="15.75">
      <c r="A12" s="759"/>
      <c r="C12" s="176"/>
      <c r="D12" s="2388" t="s">
        <v>305</v>
      </c>
      <c r="E12" s="2389"/>
      <c r="F12" s="2389"/>
      <c r="G12" s="887"/>
      <c r="H12" s="887"/>
      <c r="I12" s="2386"/>
      <c r="J12" s="2386"/>
      <c r="K12" s="2146"/>
      <c r="T12" s="675"/>
      <c r="U12" s="758">
        <v>15</v>
      </c>
    </row>
    <row customHeight="1" ht="35.699999999999996">
      <c r="C13" s="176"/>
      <c r="D13" s="761" t="s">
        <v>89</v>
      </c>
      <c r="E13" s="760" t="s">
        <v>307</v>
      </c>
      <c r="F13" s="760" t="s">
        <v>569</v>
      </c>
      <c r="G13" s="808" t="s">
        <v>308</v>
      </c>
      <c r="H13" s="754" t="s">
        <v>308</v>
      </c>
      <c r="I13" s="2281" t="s">
        <v>308</v>
      </c>
      <c r="J13" s="2281" t="s">
        <v>308</v>
      </c>
      <c r="K13" s="2146"/>
      <c r="U13" s="505">
        <v>34</v>
      </c>
    </row>
    <row customHeight="1" ht="15" hidden="1">
      <c r="C14" s="176"/>
      <c r="D14" s="593" t="s">
        <v>110</v>
      </c>
      <c r="E14" s="593" t="s">
        <v>111</v>
      </c>
      <c r="F14" s="593" t="s">
        <v>91</v>
      </c>
      <c r="G14" s="659" t="str">
        <f>G1&amp;".1"</f>
        <v>.1</v>
      </c>
      <c r="H14" s="659" t="str">
        <f>H1&amp;".1"</f>
        <v>4.1</v>
      </c>
      <c r="I14" s="683" t="str">
        <f>I1&amp;".1"</f>
        <v>.1</v>
      </c>
      <c r="J14" s="683" t="str">
        <f>J1&amp;".1"</f>
        <v>.1</v>
      </c>
      <c r="K14" s="289"/>
      <c r="U14" s="505">
        <v>0</v>
      </c>
    </row>
    <row customHeight="1" ht="15.75">
      <c r="A15" s="505"/>
      <c r="C15" s="526"/>
      <c r="D15" s="521">
        <v>1</v>
      </c>
      <c r="E15" s="1927" t="str">
        <f>TP_P_A</f>
        <v>Количество поданных заявок</v>
      </c>
      <c r="F15" s="521" t="s">
        <v>1199</v>
      </c>
      <c r="G15" s="685"/>
      <c r="H15" s="685"/>
      <c r="I15" s="685"/>
      <c r="J15" s="685"/>
      <c r="K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5">
        <v>15</v>
      </c>
    </row>
    <row customHeight="1" ht="15.75">
      <c r="A16" s="505"/>
      <c r="C16" s="526"/>
      <c r="D16" s="521">
        <v>2</v>
      </c>
      <c r="E16" s="1927" t="str">
        <f>TP_P_B</f>
        <v>Количество рассмотренных заявок</v>
      </c>
      <c r="F16" s="521" t="s">
        <v>1199</v>
      </c>
      <c r="G16" s="685"/>
      <c r="H16" s="685"/>
      <c r="I16" s="685"/>
      <c r="J16" s="685"/>
      <c r="K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5">
        <v>15</v>
      </c>
    </row>
    <row customHeight="1" ht="77.7">
      <c r="A17" s="505"/>
      <c r="C17" s="526"/>
      <c r="D17" s="521">
        <v>3</v>
      </c>
      <c r="E17" s="192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1199</v>
      </c>
      <c r="G17" s="685"/>
      <c r="H17" s="685"/>
      <c r="I17" s="685"/>
      <c r="J17" s="685"/>
      <c r="K17" s="208" t="str">
        <f>TP_P_NOTE_V</f>
        <v>Указывается количество заявок с решением об отказе в течение отчетного квартала.</v>
      </c>
      <c r="U17" s="505">
        <v>74</v>
      </c>
    </row>
    <row customHeight="1" ht="54.75">
      <c r="A18" s="505"/>
      <c r="C18" s="526"/>
      <c r="D18" s="521">
        <v>4</v>
      </c>
      <c r="E18" s="1927" t="str">
        <f>TP_P_V_1</f>
        <v>Причины отказа в заключении договора о подключении (технологическом присоединении) к системе теплоснабжения</v>
      </c>
      <c r="F18" s="521" t="s">
        <v>311</v>
      </c>
      <c r="G18" s="686"/>
      <c r="H18" s="686"/>
      <c r="I18" s="2372"/>
      <c r="J18" s="2372"/>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27"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687">
        <f>SUM(J20:J22)</f>
        <v>0</v>
      </c>
      <c r="K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5">
        <v>57</v>
      </c>
    </row>
    <row customHeight="1" ht="15" hidden="1">
      <c r="D20" s="509" t="s">
        <v>1200</v>
      </c>
      <c r="E20" s="688"/>
      <c r="F20" s="509"/>
      <c r="G20" s="509"/>
      <c r="H20" s="509"/>
      <c r="I20" s="1635"/>
      <c r="J20" s="1635"/>
      <c r="K20" s="1762"/>
      <c r="U20" s="505">
        <v>0</v>
      </c>
    </row>
    <row customHeight="1" ht="29.25">
      <c r="C21" s="451"/>
      <c r="D21" s="539" t="s">
        <v>318</v>
      </c>
      <c r="E21" s="670"/>
      <c r="F21" s="1760" t="str">
        <f>IF(TEMPLATE_SPHERE="HEAT","Гкал/час","тыс. куб. м/сутки")</f>
        <v>Гкал/час</v>
      </c>
      <c r="G21" s="680"/>
      <c r="H21" s="680"/>
      <c r="I21" s="680"/>
      <c r="J21" s="680"/>
      <c r="K21" s="218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5">
        <v>28</v>
      </c>
    </row>
    <row customHeight="1" ht="15.75">
      <c r="A22" s="505"/>
      <c r="C22" s="505"/>
      <c r="D22" s="347"/>
      <c r="E22" s="580" t="s">
        <v>1201</v>
      </c>
      <c r="F22" s="572"/>
      <c r="G22" s="572"/>
      <c r="H22" s="572"/>
      <c r="I22" s="2871"/>
      <c r="J22" s="2872"/>
      <c r="K22" s="2190"/>
      <c r="T22" s="505"/>
      <c r="U22" s="505">
        <v>15</v>
      </c>
    </row>
    <row customHeight="1" ht="22.5" hidden="1">
      <c r="A23" s="449" t="s">
        <v>83</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2C158-54B8-FFF6-9118-7FE564B825D6}"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4"/>
      <c r="F5" s="2474"/>
      <c r="G5" s="2475"/>
      <c r="Q5" s="83">
        <v>28</v>
      </c>
    </row>
    <row s="1635" customFormat="1" customHeight="1" ht="18.75">
      <c r="A6" s="882"/>
      <c r="B6" s="417"/>
      <c r="C6" s="376"/>
      <c r="D6" s="2476" t="str">
        <f>IF(org=0,"Не определено",org)</f>
        <v>Муниципальное унитарное предприятие "Невельские коммунальные сети"</v>
      </c>
      <c r="E6" s="2477"/>
      <c r="F6" s="2477"/>
      <c r="G6" s="2478"/>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28" t="s">
        <v>305</v>
      </c>
      <c r="E9" s="2228"/>
      <c r="F9" s="2228"/>
      <c r="G9" s="2408" t="s">
        <v>306</v>
      </c>
      <c r="Q9" s="83">
        <v>14</v>
      </c>
    </row>
    <row customHeight="1" ht="24">
      <c r="C10" s="96"/>
      <c r="D10" s="105" t="s">
        <v>89</v>
      </c>
      <c r="E10" s="108" t="s">
        <v>307</v>
      </c>
      <c r="F10" s="108" t="s">
        <v>395</v>
      </c>
      <c r="G10" s="2408"/>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1103</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98" t="s">
        <v>311</v>
      </c>
      <c r="G13" s="151"/>
      <c r="Q13" s="83">
        <v>23</v>
      </c>
    </row>
    <row customHeight="1" ht="14.699999999999998">
      <c r="A14" s="192"/>
      <c r="C14" s="96"/>
      <c r="D14" s="147" t="s">
        <v>1139</v>
      </c>
      <c r="E14" s="195"/>
      <c r="F14" s="213"/>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1202</v>
      </c>
      <c r="F15" s="201"/>
      <c r="G15" s="2190"/>
      <c r="Q15" s="83">
        <v>15</v>
      </c>
    </row>
    <row customHeight="1" ht="14.699999999999998">
      <c r="A16" s="192"/>
      <c r="C16" s="96"/>
      <c r="D16" s="147" t="s">
        <v>1105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1147</v>
      </c>
      <c r="E17" s="195"/>
      <c r="F17" s="385"/>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1203</v>
      </c>
      <c r="F18" s="338"/>
      <c r="G18" s="2190"/>
      <c r="I18" s="350"/>
      <c r="J18" s="350"/>
      <c r="Q18" s="342">
        <v>21</v>
      </c>
    </row>
    <row s="1635" customFormat="1" customHeight="1" ht="256.5">
      <c r="A19" s="343"/>
      <c r="B19" s="417"/>
      <c r="C19" s="376"/>
      <c r="D19" s="884" t="s">
        <v>1107</v>
      </c>
      <c r="E19" s="883" t="s">
        <v>1204</v>
      </c>
      <c r="F19" s="385"/>
      <c r="G19" s="337" t="s">
        <v>1205</v>
      </c>
      <c r="I19" s="500"/>
      <c r="J19" s="500"/>
      <c r="Q19" s="758">
        <v>0</v>
      </c>
    </row>
    <row s="1635" customFormat="1" customHeight="1" ht="14.699999999999998">
      <c r="A20" s="343"/>
      <c r="B20" s="146"/>
      <c r="C20" s="307"/>
      <c r="D20" s="885">
        <v>2</v>
      </c>
      <c r="E20" s="330" t="s">
        <v>1206</v>
      </c>
      <c r="F20" s="198" t="s">
        <v>311</v>
      </c>
      <c r="G20" s="337"/>
      <c r="I20" s="350"/>
      <c r="J20" s="350"/>
      <c r="Q20" s="342">
        <v>14</v>
      </c>
    </row>
    <row s="1635" customFormat="1" customHeight="1" ht="18.75" hidden="1">
      <c r="A21" s="343"/>
      <c r="B21" s="146"/>
      <c r="C21" s="307"/>
      <c r="D21" s="333" t="s">
        <v>662</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2" t="s">
        <v>111</v>
      </c>
      <c r="E23" s="197" t="s">
        <v>1207</v>
      </c>
      <c r="F23" s="1669" t="s">
        <v>311</v>
      </c>
      <c r="G23" s="345"/>
      <c r="I23" s="1624"/>
      <c r="J23" s="1624"/>
      <c r="Q23" s="1631">
        <v>0</v>
      </c>
    </row>
    <row s="1635" customFormat="1" customHeight="1" ht="14.25" hidden="1">
      <c r="A24" s="343"/>
      <c r="B24" s="1160"/>
      <c r="C24" s="376"/>
      <c r="D24" s="1672" t="s">
        <v>734</v>
      </c>
      <c r="E24" s="1671" t="s">
        <v>1208</v>
      </c>
      <c r="F24" s="1669" t="s">
        <v>311</v>
      </c>
      <c r="G24" s="337"/>
      <c r="I24" s="1624"/>
      <c r="J24" s="1624"/>
      <c r="Q24" s="1631">
        <v>0</v>
      </c>
    </row>
    <row s="1635" customFormat="1" customHeight="1" ht="14.25" hidden="1">
      <c r="A25" s="343"/>
      <c r="B25" s="1160"/>
      <c r="C25" s="376"/>
      <c r="D25" s="1672" t="s">
        <v>737</v>
      </c>
      <c r="E25" s="195"/>
      <c r="F25" s="385"/>
      <c r="G25" s="2188" t="s">
        <v>1209</v>
      </c>
      <c r="I25" s="1624"/>
      <c r="J25" s="1624"/>
      <c r="Q25" s="1631">
        <v>0</v>
      </c>
    </row>
    <row s="1635" customFormat="1" customHeight="1" ht="14.25" hidden="1">
      <c r="A26" s="343"/>
      <c r="B26" s="1160"/>
      <c r="C26" s="376"/>
      <c r="D26" s="347"/>
      <c r="E26" s="349" t="s">
        <v>1210</v>
      </c>
      <c r="F26" s="338"/>
      <c r="G26" s="2190"/>
      <c r="I26" s="1624"/>
      <c r="J26" s="1624"/>
      <c r="Q26" s="1631">
        <v>0</v>
      </c>
    </row>
    <row s="1635" customFormat="1" customHeight="1" ht="33.75" hidden="1">
      <c r="A27" s="343"/>
      <c r="B27" s="1366"/>
      <c r="C27" s="376"/>
      <c r="D27" s="2076" t="s">
        <v>91</v>
      </c>
      <c r="E27" s="197" t="s">
        <v>1211</v>
      </c>
      <c r="F27" s="2077" t="s">
        <v>311</v>
      </c>
      <c r="G27" s="1525"/>
      <c r="I27" s="1624"/>
      <c r="J27" s="1624"/>
      <c r="Q27" s="1631">
        <v>0</v>
      </c>
    </row>
    <row s="1635" customFormat="1" customHeight="1" ht="22.5" hidden="1">
      <c r="A28" s="343"/>
      <c r="B28" s="1366"/>
      <c r="C28" s="376"/>
      <c r="D28" s="2076" t="s">
        <v>329</v>
      </c>
      <c r="E28" s="2078" t="s">
        <v>1212</v>
      </c>
      <c r="F28" s="2077" t="s">
        <v>311</v>
      </c>
      <c r="G28" s="337"/>
      <c r="I28" s="1624"/>
      <c r="J28" s="1624"/>
      <c r="Q28" s="1631">
        <v>0</v>
      </c>
    </row>
    <row s="1635" customFormat="1" customHeight="1" ht="14.25" hidden="1">
      <c r="A29" s="343"/>
      <c r="B29" s="1366"/>
      <c r="C29" s="376"/>
      <c r="D29" s="2076" t="s">
        <v>331</v>
      </c>
      <c r="E29" s="2090"/>
      <c r="F29" s="662"/>
      <c r="G29" s="2188" t="s">
        <v>1213</v>
      </c>
      <c r="I29" s="1624"/>
      <c r="J29" s="1624"/>
      <c r="Q29" s="1631">
        <v>0</v>
      </c>
    </row>
    <row s="1635" customFormat="1" customHeight="1" ht="14.25" hidden="1">
      <c r="A30" s="343"/>
      <c r="B30" s="1366"/>
      <c r="C30" s="376"/>
      <c r="D30" s="347"/>
      <c r="E30" s="571" t="s">
        <v>1210</v>
      </c>
      <c r="F30" s="338"/>
      <c r="G30" s="2190"/>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83</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0C498-F868-D318-3BC8-F7E47715515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121</v>
      </c>
      <c r="D2" s="1672"/>
      <c r="E2" s="199"/>
      <c r="F2" s="1669"/>
      <c r="G2" s="1669" t="s">
        <v>311</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121</v>
      </c>
      <c r="D4" s="1672"/>
      <c r="E4" s="205" t="s">
        <v>1214</v>
      </c>
      <c r="F4" s="1669"/>
      <c r="G4" s="257"/>
      <c r="H4" s="1669" t="s">
        <v>311</v>
      </c>
      <c r="K4" s="1624"/>
      <c r="L4" s="1624"/>
      <c r="M4" s="1631">
        <v>0</v>
      </c>
    </row>
    <row s="1635" customFormat="1" customHeight="1" ht="14.25" hidden="1">
      <c r="A5" s="1362"/>
      <c r="B5" s="1160"/>
      <c r="C5" s="344"/>
      <c r="K5" s="1624"/>
      <c r="L5" s="1624"/>
      <c r="M5" s="1631">
        <v>0</v>
      </c>
    </row>
    <row s="1635" customFormat="1" customHeight="1" ht="18.75" hidden="1">
      <c r="A6" s="1682"/>
      <c r="B6" s="1160"/>
      <c r="C6" s="1729" t="s">
        <v>121</v>
      </c>
      <c r="D6" s="1672"/>
      <c r="E6" s="206" t="s">
        <v>1215</v>
      </c>
      <c r="F6" s="1669"/>
      <c r="G6" s="257"/>
      <c r="H6" s="1669" t="s">
        <v>311</v>
      </c>
      <c r="K6" s="1624"/>
      <c r="L6" s="1624"/>
      <c r="M6" s="1631">
        <v>0</v>
      </c>
    </row>
    <row s="1635" customFormat="1" customHeight="1" ht="14.25" hidden="1">
      <c r="A7" s="1362"/>
      <c r="B7" s="1160"/>
      <c r="C7" s="344"/>
      <c r="K7" s="1624"/>
      <c r="L7" s="1624"/>
      <c r="M7" s="1631">
        <v>0</v>
      </c>
    </row>
    <row s="1635" customFormat="1" customHeight="1" ht="18.75" hidden="1">
      <c r="A8" s="1682"/>
      <c r="B8" s="1160"/>
      <c r="C8" s="1729" t="s">
        <v>121</v>
      </c>
      <c r="D8" s="1672"/>
      <c r="E8" s="206" t="s">
        <v>1216</v>
      </c>
      <c r="F8" s="1669"/>
      <c r="G8" s="257"/>
      <c r="H8" s="1669" t="s">
        <v>311</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121</v>
      </c>
      <c r="D10" s="1672"/>
      <c r="E10" s="206" t="s">
        <v>1217</v>
      </c>
      <c r="F10" s="1669"/>
      <c r="G10" s="1673"/>
      <c r="H10" s="1669" t="s">
        <v>311</v>
      </c>
      <c r="K10" s="1624"/>
      <c r="L10" s="1624" t="s">
        <v>1218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4"/>
      <c r="F14" s="2474"/>
      <c r="G14" s="2474"/>
      <c r="H14" s="2475"/>
      <c r="J14" s="1631"/>
      <c r="M14" s="83">
        <v>28</v>
      </c>
    </row>
    <row s="1635" customFormat="1" customHeight="1" ht="14.699999999999998">
      <c r="A15" s="1362"/>
      <c r="B15" s="1160"/>
      <c r="C15" s="376"/>
      <c r="D15" s="2476" t="str">
        <f>IF(org=0,"Не определено",org)</f>
        <v>Муниципальное унитарное предприятие "Невельские коммунальные сети"</v>
      </c>
      <c r="E15" s="2477"/>
      <c r="F15" s="2477"/>
      <c r="G15" s="2477"/>
      <c r="H15" s="2478"/>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28" t="s">
        <v>305</v>
      </c>
      <c r="E18" s="2228"/>
      <c r="F18" s="2228"/>
      <c r="G18" s="2228"/>
      <c r="H18" s="2228"/>
      <c r="I18" s="2408" t="s">
        <v>306</v>
      </c>
      <c r="M18" s="83">
        <v>21</v>
      </c>
    </row>
    <row customHeight="1" ht="22.049999999999997">
      <c r="C19" s="96"/>
      <c r="D19" s="105" t="s">
        <v>89</v>
      </c>
      <c r="E19" s="108" t="s">
        <v>307</v>
      </c>
      <c r="F19" s="108"/>
      <c r="G19" s="108" t="s">
        <v>308</v>
      </c>
      <c r="H19" s="108" t="s">
        <v>395</v>
      </c>
      <c r="I19" s="2408"/>
      <c r="M19" s="83">
        <v>21</v>
      </c>
    </row>
    <row customHeight="1" ht="12" hidden="1">
      <c r="C20" s="96"/>
      <c r="D20" s="87"/>
      <c r="E20" s="87"/>
      <c r="F20" s="87"/>
      <c r="G20" s="87"/>
      <c r="H20" s="87"/>
      <c r="I20" s="87"/>
      <c r="M20" s="83">
        <v>0</v>
      </c>
    </row>
    <row customHeight="1" ht="14.699999999999998">
      <c r="A21" s="1682"/>
      <c r="C21" s="96"/>
      <c r="D21" s="147">
        <v>1</v>
      </c>
      <c r="E21" s="2480" t="s">
        <v>1219</v>
      </c>
      <c r="F21" s="2480"/>
      <c r="G21" s="2480"/>
      <c r="H21" s="2480"/>
      <c r="I21" s="208"/>
      <c r="M21" s="83">
        <v>14</v>
      </c>
    </row>
    <row customHeight="1" ht="21">
      <c r="A22" s="1682"/>
      <c r="C22" s="96"/>
      <c r="D22" s="147" t="s">
        <v>1103</v>
      </c>
      <c r="E22" s="194" t="s">
        <v>1220</v>
      </c>
      <c r="F22" s="198"/>
      <c r="G22" s="1736"/>
      <c r="H22" s="198" t="s">
        <v>311</v>
      </c>
      <c r="I22" s="151" t="s">
        <v>1221</v>
      </c>
      <c r="M22" s="83">
        <v>20</v>
      </c>
    </row>
    <row customHeight="1" ht="60">
      <c r="A23" s="1682"/>
      <c r="C23" s="96"/>
      <c r="D23" s="147" t="s">
        <v>1105</v>
      </c>
      <c r="E23" s="194" t="s">
        <v>1222</v>
      </c>
      <c r="F23" s="198"/>
      <c r="G23" s="257"/>
      <c r="H23" s="213"/>
      <c r="I23" s="258" t="s">
        <v>1223</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657</v>
      </c>
      <c r="M24" s="83">
        <v>14</v>
      </c>
    </row>
    <row customHeight="1" ht="48.29999999999999">
      <c r="A25" s="1682"/>
      <c r="C25" s="96"/>
      <c r="D25" s="147">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9"/>
      <c r="G25" s="2479"/>
      <c r="H25" s="2479"/>
      <c r="I25" s="256"/>
      <c r="M25" s="83">
        <v>46</v>
      </c>
    </row>
    <row customHeight="1" ht="14.699999999999998">
      <c r="A26" s="1682"/>
      <c r="C26" s="96"/>
      <c r="D26" s="147" t="s">
        <v>329</v>
      </c>
      <c r="E26" s="199"/>
      <c r="F26" s="198"/>
      <c r="G26" s="198" t="s">
        <v>311</v>
      </c>
      <c r="H26" s="213"/>
      <c r="I26" s="2188" t="s">
        <v>1224</v>
      </c>
      <c r="M26" s="83">
        <v>14</v>
      </c>
    </row>
    <row customHeight="1" ht="15.75">
      <c r="A27" s="1682" t="s">
        <v>110</v>
      </c>
      <c r="C27" s="96"/>
      <c r="D27" s="109"/>
      <c r="E27" s="203" t="s">
        <v>327</v>
      </c>
      <c r="F27" s="204"/>
      <c r="G27" s="204"/>
      <c r="H27" s="201"/>
      <c r="I27" s="2190"/>
      <c r="M27" s="83">
        <v>15</v>
      </c>
    </row>
    <row customHeight="1" ht="39.75">
      <c r="A28" s="1682"/>
      <c r="B28" s="146">
        <v>3</v>
      </c>
      <c r="C28" s="96"/>
      <c r="D28" s="147">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9"/>
      <c r="G28" s="2479"/>
      <c r="H28" s="2479"/>
      <c r="I28" s="256"/>
      <c r="M28" s="83">
        <v>38</v>
      </c>
    </row>
    <row customHeight="1" ht="21">
      <c r="A29" s="1682"/>
      <c r="C29" s="96"/>
      <c r="D29" s="147" t="s">
        <v>785</v>
      </c>
      <c r="E29" s="205" t="s">
        <v>1214</v>
      </c>
      <c r="F29" s="198"/>
      <c r="G29" s="257"/>
      <c r="H29" s="198" t="s">
        <v>311</v>
      </c>
      <c r="I29" s="2188" t="s">
        <v>1225</v>
      </c>
      <c r="M29" s="83">
        <v>20</v>
      </c>
    </row>
    <row customHeight="1" ht="15.75">
      <c r="A30" s="1682" t="s">
        <v>111</v>
      </c>
      <c r="C30" s="96"/>
      <c r="D30" s="109"/>
      <c r="E30" s="203" t="s">
        <v>327</v>
      </c>
      <c r="F30" s="204"/>
      <c r="G30" s="204"/>
      <c r="H30" s="201"/>
      <c r="I30" s="2190"/>
      <c r="M30" s="83">
        <v>15</v>
      </c>
    </row>
    <row customHeight="1" ht="31.5">
      <c r="A31" s="1682"/>
      <c r="B31" s="146">
        <v>3</v>
      </c>
      <c r="C31" s="96"/>
      <c r="D31" s="147">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9"/>
      <c r="G31" s="2479"/>
      <c r="H31" s="2479"/>
      <c r="I31" s="256"/>
      <c r="M31" s="83">
        <v>30</v>
      </c>
    </row>
    <row customHeight="1" ht="27.299999999999997">
      <c r="A32" s="1682"/>
      <c r="C32" s="96"/>
      <c r="D32" s="147" t="s">
        <v>318</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2"/>
      <c r="G32" s="2422"/>
      <c r="H32" s="2422"/>
      <c r="I32" s="256"/>
      <c r="M32" s="83">
        <v>26</v>
      </c>
    </row>
    <row customHeight="1" ht="14.699999999999998">
      <c r="A33" s="1682"/>
      <c r="C33" s="96"/>
      <c r="D33" s="147" t="s">
        <v>1226</v>
      </c>
      <c r="E33" s="206" t="s">
        <v>1215</v>
      </c>
      <c r="F33" s="198"/>
      <c r="G33" s="257"/>
      <c r="H33" s="198" t="s">
        <v>311</v>
      </c>
      <c r="I33" s="2188" t="s">
        <v>1227</v>
      </c>
      <c r="M33" s="83">
        <v>14</v>
      </c>
    </row>
    <row customHeight="1" ht="15.75">
      <c r="A34" s="1682" t="s">
        <v>91</v>
      </c>
      <c r="C34" s="96"/>
      <c r="D34" s="109"/>
      <c r="E34" s="204" t="s">
        <v>327</v>
      </c>
      <c r="F34" s="200"/>
      <c r="G34" s="200"/>
      <c r="H34" s="201"/>
      <c r="I34" s="2190"/>
      <c r="M34" s="83">
        <v>15</v>
      </c>
    </row>
    <row customHeight="1" ht="25.2">
      <c r="A35" s="1682"/>
      <c r="C35" s="96"/>
      <c r="D35" s="147" t="s">
        <v>927</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2"/>
      <c r="G35" s="2422"/>
      <c r="H35" s="2422"/>
      <c r="I35" s="256"/>
      <c r="M35" s="83">
        <v>24</v>
      </c>
    </row>
    <row customHeight="1" ht="14.699999999999998">
      <c r="A36" s="1682"/>
      <c r="C36" s="96"/>
      <c r="D36" s="147" t="s">
        <v>1228</v>
      </c>
      <c r="E36" s="206" t="s">
        <v>1216</v>
      </c>
      <c r="F36" s="198"/>
      <c r="G36" s="257"/>
      <c r="H36" s="198" t="s">
        <v>311</v>
      </c>
      <c r="I36" s="2162" t="s">
        <v>1229</v>
      </c>
      <c r="M36" s="83">
        <v>14</v>
      </c>
    </row>
    <row customHeight="1" ht="15.75">
      <c r="A37" s="1682" t="s">
        <v>92</v>
      </c>
      <c r="C37" s="96"/>
      <c r="D37" s="109"/>
      <c r="E37" s="204" t="s">
        <v>327</v>
      </c>
      <c r="F37" s="200"/>
      <c r="G37" s="200"/>
      <c r="H37" s="201"/>
      <c r="I37" s="2162"/>
      <c r="M37" s="83">
        <v>15</v>
      </c>
    </row>
    <row customHeight="1" ht="27.299999999999997">
      <c r="A38" s="1682"/>
      <c r="C38" s="96"/>
      <c r="D38" s="147" t="s">
        <v>928</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2"/>
      <c r="G38" s="2422"/>
      <c r="H38" s="2422"/>
      <c r="I38" s="256"/>
      <c r="M38" s="83">
        <v>26</v>
      </c>
    </row>
    <row customHeight="1" ht="14.699999999999998">
      <c r="A39" s="1682"/>
      <c r="C39" s="96"/>
      <c r="D39" s="147" t="s">
        <v>929</v>
      </c>
      <c r="E39" s="206" t="s">
        <v>1217</v>
      </c>
      <c r="F39" s="198"/>
      <c r="G39" s="207"/>
      <c r="H39" s="198" t="s">
        <v>311</v>
      </c>
      <c r="I39" s="2188" t="s">
        <v>1230</v>
      </c>
      <c r="L39" s="155" t="s">
        <v>1218</v>
      </c>
      <c r="M39" s="83">
        <v>14</v>
      </c>
    </row>
    <row customHeight="1" ht="15.75">
      <c r="A40" s="1682" t="s">
        <v>100</v>
      </c>
      <c r="C40" s="96"/>
      <c r="D40" s="109"/>
      <c r="E40" s="204" t="s">
        <v>327</v>
      </c>
      <c r="F40" s="200"/>
      <c r="G40" s="200"/>
      <c r="H40" s="201"/>
      <c r="I40" s="2190"/>
      <c r="M40" s="83">
        <v>15</v>
      </c>
    </row>
    <row s="1822" customFormat="1" customHeight="1" ht="3">
      <c r="A41" s="1682"/>
      <c r="K41" s="196"/>
      <c r="L41" s="196"/>
      <c r="M41" s="140">
        <v>3</v>
      </c>
    </row>
    <row customHeight="1" ht="26.25">
      <c r="D42" s="1680" t="s">
        <v>847</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4"/>
      <c r="G42" s="2304"/>
      <c r="H42" s="2304"/>
      <c r="I42" s="2304"/>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B457E-52B8-4A07-13B7-D5EE2F17862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162</v>
      </c>
      <c r="B2" s="1779" t="s">
        <v>163</v>
      </c>
      <c r="C2" s="369"/>
      <c r="D2" s="344"/>
      <c r="E2" s="1031"/>
      <c r="F2" s="1031"/>
      <c r="G2" s="2446" t="str">
        <f>INDEX(PT_DIFFERENTIATION_NTAR,MATCH(B2,PT_DIFFERENTIATION_NTAR_ID,0))</f>
        <v/>
      </c>
      <c r="H2" s="1861"/>
      <c r="I2" s="1738"/>
      <c r="J2" s="1772"/>
      <c r="K2" s="1862"/>
      <c r="L2" s="1861" t="s">
        <v>311</v>
      </c>
      <c r="M2" s="1872"/>
      <c r="N2" s="334"/>
      <c r="O2" s="1624"/>
      <c r="P2" s="1624"/>
      <c r="AH2" s="1631">
        <v>0</v>
      </c>
    </row>
    <row s="1635" customFormat="1" customHeight="1" ht="18.75" hidden="1">
      <c r="A3" s="1779"/>
      <c r="B3" s="1779"/>
      <c r="C3" s="369" t="s">
        <v>1231</v>
      </c>
      <c r="D3" s="344"/>
      <c r="E3" s="1031"/>
      <c r="F3" s="1031"/>
      <c r="G3" s="2446"/>
      <c r="H3" s="1500"/>
      <c r="I3" s="651" t="s">
        <v>1232</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162</v>
      </c>
      <c r="B5" s="1779" t="s">
        <v>163</v>
      </c>
      <c r="C5" s="369"/>
      <c r="D5" s="344"/>
      <c r="E5" s="1031"/>
      <c r="F5" s="1031"/>
      <c r="G5" s="2446" t="str">
        <f>INDEX(PT_DIFFERENTIATION_NTAR,MATCH(B5,PT_DIFFERENTIATION_NTAR_ID,0))</f>
        <v/>
      </c>
      <c r="H5" s="1861"/>
      <c r="I5" s="1738"/>
      <c r="J5" s="1772"/>
      <c r="K5" s="1777"/>
      <c r="L5" s="1861" t="s">
        <v>311</v>
      </c>
      <c r="M5" s="1872"/>
      <c r="N5" s="334"/>
      <c r="O5" s="1624"/>
      <c r="P5" s="1624"/>
      <c r="AH5" s="1631">
        <v>0</v>
      </c>
    </row>
    <row s="1635" customFormat="1" customHeight="1" ht="18.75" hidden="1">
      <c r="A6" s="1779"/>
      <c r="B6" s="1779"/>
      <c r="C6" s="369" t="s">
        <v>1233</v>
      </c>
      <c r="D6" s="344"/>
      <c r="E6" s="1031"/>
      <c r="F6" s="1031"/>
      <c r="G6" s="2446"/>
      <c r="H6" s="1500"/>
      <c r="I6" s="651" t="s">
        <v>1232</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311</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311</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4"/>
      <c r="G14" s="2484"/>
      <c r="H14" s="2484"/>
      <c r="I14" s="2484"/>
      <c r="J14" s="2484"/>
      <c r="K14" s="2484"/>
      <c r="L14" s="2484"/>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28" t="s">
        <v>305</v>
      </c>
      <c r="F19" s="2228"/>
      <c r="G19" s="2228"/>
      <c r="H19" s="2228"/>
      <c r="I19" s="2228"/>
      <c r="J19" s="2228"/>
      <c r="K19" s="2228"/>
      <c r="L19" s="2228"/>
      <c r="M19" s="2408" t="s">
        <v>306</v>
      </c>
      <c r="AH19" s="374">
        <v>21</v>
      </c>
    </row>
    <row customHeight="1" ht="22.049999999999997">
      <c r="D20" s="376"/>
      <c r="E20" s="2296" t="s">
        <v>89</v>
      </c>
      <c r="F20" s="2243" t="s">
        <v>129</v>
      </c>
      <c r="G20" s="2243" t="s">
        <v>130</v>
      </c>
      <c r="H20" s="2405" t="s">
        <v>1234</v>
      </c>
      <c r="I20" s="2406"/>
      <c r="J20" s="2452"/>
      <c r="K20" s="2243" t="s">
        <v>308</v>
      </c>
      <c r="L20" s="2243" t="s">
        <v>395</v>
      </c>
      <c r="M20" s="2408"/>
      <c r="AH20" s="374">
        <v>21</v>
      </c>
    </row>
    <row customHeight="1" ht="22.049999999999997">
      <c r="D21" s="376"/>
      <c r="E21" s="2298"/>
      <c r="F21" s="2244"/>
      <c r="G21" s="2244"/>
      <c r="H21" s="2237" t="s">
        <v>1235</v>
      </c>
      <c r="I21" s="2239"/>
      <c r="J21" s="108" t="s">
        <v>1236</v>
      </c>
      <c r="K21" s="2244"/>
      <c r="L21" s="2244"/>
      <c r="M21" s="2408"/>
      <c r="AH21" s="374">
        <v>21</v>
      </c>
    </row>
    <row customHeight="1" ht="12.75">
      <c r="D22" s="376"/>
      <c r="E22" s="281"/>
      <c r="F22" s="281"/>
      <c r="G22" s="281"/>
      <c r="H22" s="2486"/>
      <c r="I22" s="2486"/>
      <c r="J22" s="281"/>
      <c r="K22" s="281"/>
      <c r="L22" s="281"/>
      <c r="M22" s="281"/>
      <c r="AH22" s="374">
        <v>12</v>
      </c>
    </row>
    <row customHeight="1" ht="19.95">
      <c r="A23" s="1779"/>
      <c r="B23" s="1779"/>
      <c r="D23" s="376"/>
      <c r="E23" s="1863" t="s">
        <v>110</v>
      </c>
      <c r="F23" s="2487" t="str">
        <f>"Предлагаемый метод регулирования"&amp;IF(TEMPLATE_SPHERE="HEAT"," в сфере "&amp;TEMPLATE_SPHERE_RUS,"")</f>
        <v>Предлагаемый метод регулирования в сфере теплоснабжения</v>
      </c>
      <c r="G23" s="2488"/>
      <c r="H23" s="2480"/>
      <c r="I23" s="2480"/>
      <c r="J23" s="2480"/>
      <c r="K23" s="2488" t="s">
        <v>311</v>
      </c>
      <c r="L23" s="2480"/>
      <c r="M23" s="1768"/>
      <c r="N23" s="334"/>
      <c r="AH23" s="374">
        <v>19</v>
      </c>
    </row>
    <row customHeight="1" ht="60.75" hidden="1">
      <c r="A24" s="1779" t="s">
        <v>162</v>
      </c>
      <c r="B24" s="1779" t="s">
        <v>163</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59"/>
      <c r="I24" s="1738"/>
      <c r="J24" s="1772"/>
      <c r="K24" s="1862"/>
      <c r="L24" s="1767" t="s">
        <v>311</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1231</v>
      </c>
      <c r="D25" s="2485"/>
      <c r="E25" s="2223"/>
      <c r="F25" s="2489"/>
      <c r="G25" s="2446"/>
      <c r="H25" s="1500"/>
      <c r="I25" s="651" t="s">
        <v>1232</v>
      </c>
      <c r="J25" s="571"/>
      <c r="K25" s="1500"/>
      <c r="L25" s="214"/>
      <c r="M25" s="2189"/>
      <c r="N25" s="334"/>
      <c r="O25" s="1624"/>
      <c r="P25" s="1624"/>
      <c r="AH25" s="1631">
        <v>0</v>
      </c>
    </row>
    <row customHeight="1" ht="0.75" hidden="1">
      <c r="A26" s="1779"/>
      <c r="B26" s="1779"/>
      <c r="C26" s="369" t="s">
        <v>1237</v>
      </c>
      <c r="D26" s="2485"/>
      <c r="E26" s="2223"/>
      <c r="F26" s="2402"/>
      <c r="G26" s="400"/>
      <c r="H26" s="1500"/>
      <c r="I26" s="395"/>
      <c r="J26" s="349"/>
      <c r="K26" s="1500"/>
      <c r="L26" s="201"/>
      <c r="M26" s="2189"/>
      <c r="N26" s="334"/>
      <c r="AH26" s="374">
        <v>0</v>
      </c>
    </row>
    <row s="1635" customFormat="1" customHeight="1" ht="45" hidden="1">
      <c r="A27" s="1779" t="s">
        <v>167</v>
      </c>
      <c r="B27" s="1779" t="s">
        <v>168</v>
      </c>
      <c r="C27" s="369"/>
      <c r="D27" s="2481"/>
      <c r="E27" s="2482"/>
      <c r="F27" s="2483" t="str">
        <f>INDEX(PT_DIFFERENTIATION_VTAR,MATCH(A27,PT_DIFFERENTIATION_VTAR_ID,0))</f>
        <v/>
      </c>
      <c r="G27" s="2446" t="str">
        <f>INDEX(PT_DIFFERENTIATION_NTAR,MATCH(B27,PT_DIFFERENTIATION_NTAR_ID,0))</f>
        <v/>
      </c>
      <c r="H27" s="1859"/>
      <c r="I27" s="1738"/>
      <c r="J27" s="1772"/>
      <c r="K27" s="1862"/>
      <c r="L27" s="1859" t="s">
        <v>311</v>
      </c>
      <c r="M27" s="2189"/>
      <c r="N27" s="334"/>
      <c r="O27" s="1624"/>
      <c r="P27" s="1624"/>
      <c r="AH27" s="1631">
        <v>0</v>
      </c>
    </row>
    <row s="1635" customFormat="1" customHeight="1" ht="18.75" hidden="1">
      <c r="A28" s="1779"/>
      <c r="B28" s="1779"/>
      <c r="C28" s="369" t="s">
        <v>1231</v>
      </c>
      <c r="D28" s="2481"/>
      <c r="E28" s="2482"/>
      <c r="F28" s="2483"/>
      <c r="G28" s="2446"/>
      <c r="H28" s="1500"/>
      <c r="I28" s="651" t="s">
        <v>1232</v>
      </c>
      <c r="J28" s="571"/>
      <c r="K28" s="1500"/>
      <c r="L28" s="214"/>
      <c r="M28" s="2189"/>
      <c r="N28" s="334"/>
      <c r="O28" s="1624"/>
      <c r="P28" s="1624"/>
      <c r="AH28" s="1631">
        <v>0</v>
      </c>
    </row>
    <row s="1635" customFormat="1" customHeight="1" ht="0.75" hidden="1">
      <c r="A29" s="1779"/>
      <c r="B29" s="1779"/>
      <c r="C29" s="369" t="s">
        <v>1237</v>
      </c>
      <c r="D29" s="2481"/>
      <c r="E29" s="2223"/>
      <c r="F29" s="2402"/>
      <c r="G29" s="400"/>
      <c r="H29" s="1500"/>
      <c r="I29" s="651"/>
      <c r="J29" s="571"/>
      <c r="K29" s="1500"/>
      <c r="L29" s="214"/>
      <c r="M29" s="2189"/>
      <c r="N29" s="334"/>
      <c r="O29" s="1624"/>
      <c r="P29" s="1624"/>
      <c r="AH29" s="1631">
        <v>0</v>
      </c>
    </row>
    <row s="1635" customFormat="1" customHeight="1" ht="45" hidden="1">
      <c r="A30" s="1779" t="s">
        <v>174</v>
      </c>
      <c r="B30" s="1779" t="s">
        <v>175</v>
      </c>
      <c r="C30" s="369"/>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59"/>
      <c r="I30" s="1738"/>
      <c r="J30" s="1772"/>
      <c r="K30" s="1862"/>
      <c r="L30" s="1859" t="s">
        <v>311</v>
      </c>
      <c r="M30" s="2189"/>
      <c r="N30" s="334"/>
      <c r="O30" s="1624"/>
      <c r="P30" s="1624"/>
      <c r="AH30" s="1631">
        <v>0</v>
      </c>
    </row>
    <row s="1635" customFormat="1" customHeight="1" ht="18.75" hidden="1">
      <c r="A31" s="1779"/>
      <c r="B31" s="1779"/>
      <c r="C31" s="369" t="s">
        <v>1231</v>
      </c>
      <c r="D31" s="2481"/>
      <c r="E31" s="2223"/>
      <c r="F31" s="2402"/>
      <c r="G31" s="2446"/>
      <c r="H31" s="1500"/>
      <c r="I31" s="651" t="s">
        <v>1232</v>
      </c>
      <c r="J31" s="571"/>
      <c r="K31" s="1500"/>
      <c r="L31" s="214"/>
      <c r="M31" s="2189"/>
      <c r="N31" s="334"/>
      <c r="O31" s="1624"/>
      <c r="P31" s="1624"/>
      <c r="AH31" s="1631">
        <v>0</v>
      </c>
    </row>
    <row s="1635" customFormat="1" customHeight="1" ht="0.75" hidden="1">
      <c r="A32" s="1779"/>
      <c r="B32" s="1779"/>
      <c r="C32" s="369" t="s">
        <v>1237</v>
      </c>
      <c r="D32" s="2481"/>
      <c r="E32" s="2223"/>
      <c r="F32" s="2402"/>
      <c r="G32" s="400"/>
      <c r="H32" s="1500"/>
      <c r="I32" s="651"/>
      <c r="J32" s="571"/>
      <c r="K32" s="1500"/>
      <c r="L32" s="214"/>
      <c r="M32" s="2189"/>
      <c r="N32" s="334"/>
      <c r="O32" s="1624"/>
      <c r="P32" s="1624"/>
      <c r="AH32" s="1631">
        <v>0</v>
      </c>
    </row>
    <row s="1635" customFormat="1" customHeight="1" ht="45" hidden="1">
      <c r="A33" s="1779" t="s">
        <v>180</v>
      </c>
      <c r="B33" s="1779" t="s">
        <v>181</v>
      </c>
      <c r="C33" s="369"/>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59"/>
      <c r="I33" s="1738"/>
      <c r="J33" s="1772"/>
      <c r="K33" s="1862"/>
      <c r="L33" s="1859" t="s">
        <v>311</v>
      </c>
      <c r="M33" s="2189"/>
      <c r="N33" s="334"/>
      <c r="O33" s="1624"/>
      <c r="P33" s="1624"/>
      <c r="AH33" s="1631">
        <v>0</v>
      </c>
    </row>
    <row s="1635" customFormat="1" customHeight="1" ht="18.75" hidden="1">
      <c r="A34" s="1779"/>
      <c r="B34" s="1779"/>
      <c r="C34" s="369" t="s">
        <v>1231</v>
      </c>
      <c r="D34" s="2481"/>
      <c r="E34" s="2223"/>
      <c r="F34" s="2402"/>
      <c r="G34" s="2446"/>
      <c r="H34" s="1500"/>
      <c r="I34" s="651" t="s">
        <v>1232</v>
      </c>
      <c r="J34" s="571"/>
      <c r="K34" s="1500"/>
      <c r="L34" s="214"/>
      <c r="M34" s="2189"/>
      <c r="N34" s="334"/>
      <c r="O34" s="1624"/>
      <c r="P34" s="1624"/>
      <c r="AH34" s="1631">
        <v>0</v>
      </c>
    </row>
    <row s="1635" customFormat="1" customHeight="1" ht="0.75" hidden="1">
      <c r="A35" s="1779"/>
      <c r="B35" s="1779"/>
      <c r="C35" s="369" t="s">
        <v>1237</v>
      </c>
      <c r="D35" s="2481"/>
      <c r="E35" s="2223"/>
      <c r="F35" s="2402"/>
      <c r="G35" s="400"/>
      <c r="H35" s="1500"/>
      <c r="I35" s="651"/>
      <c r="J35" s="571"/>
      <c r="K35" s="1500"/>
      <c r="L35" s="214"/>
      <c r="M35" s="2189"/>
      <c r="N35" s="334"/>
      <c r="O35" s="1624"/>
      <c r="P35" s="1624"/>
      <c r="AH35" s="1631">
        <v>0</v>
      </c>
    </row>
    <row s="1635" customFormat="1" customHeight="1" ht="18.75" hidden="1">
      <c r="A36" s="1779" t="s">
        <v>186</v>
      </c>
      <c r="B36" s="1779" t="s">
        <v>187</v>
      </c>
      <c r="C36" s="369"/>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59"/>
      <c r="I36" s="1738"/>
      <c r="J36" s="1772"/>
      <c r="K36" s="1862"/>
      <c r="L36" s="1859" t="s">
        <v>311</v>
      </c>
      <c r="M36" s="2189"/>
      <c r="N36" s="334"/>
      <c r="O36" s="1624"/>
      <c r="P36" s="1624"/>
      <c r="AH36" s="1631">
        <v>0</v>
      </c>
    </row>
    <row s="1635" customFormat="1" customHeight="1" ht="18.75" hidden="1">
      <c r="A37" s="1779"/>
      <c r="B37" s="1779"/>
      <c r="C37" s="369" t="s">
        <v>1231</v>
      </c>
      <c r="D37" s="2481"/>
      <c r="E37" s="2223"/>
      <c r="F37" s="2402"/>
      <c r="G37" s="2446"/>
      <c r="H37" s="1500"/>
      <c r="I37" s="651" t="s">
        <v>1232</v>
      </c>
      <c r="J37" s="571"/>
      <c r="K37" s="1500"/>
      <c r="L37" s="214"/>
      <c r="M37" s="2189"/>
      <c r="N37" s="334"/>
      <c r="O37" s="1624"/>
      <c r="P37" s="1624"/>
      <c r="AH37" s="1631">
        <v>0</v>
      </c>
    </row>
    <row s="1635" customFormat="1" customHeight="1" ht="0.75" hidden="1">
      <c r="A38" s="1779"/>
      <c r="B38" s="1779"/>
      <c r="C38" s="369" t="s">
        <v>1237</v>
      </c>
      <c r="D38" s="2481"/>
      <c r="E38" s="2223"/>
      <c r="F38" s="2402"/>
      <c r="G38" s="400"/>
      <c r="H38" s="1500"/>
      <c r="I38" s="651"/>
      <c r="J38" s="571"/>
      <c r="K38" s="1500"/>
      <c r="L38" s="214"/>
      <c r="M38" s="2189"/>
      <c r="N38" s="334"/>
      <c r="O38" s="1624"/>
      <c r="P38" s="1624"/>
      <c r="AH38" s="1631">
        <v>0</v>
      </c>
    </row>
    <row s="1635" customFormat="1" customHeight="1" ht="18.75" hidden="1">
      <c r="A39" s="1779" t="s">
        <v>192</v>
      </c>
      <c r="B39" s="1779" t="s">
        <v>193</v>
      </c>
      <c r="C39" s="369"/>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59"/>
      <c r="I39" s="1738"/>
      <c r="J39" s="1772"/>
      <c r="K39" s="1862"/>
      <c r="L39" s="1859" t="s">
        <v>311</v>
      </c>
      <c r="M39" s="2189"/>
      <c r="N39" s="334"/>
      <c r="O39" s="1624"/>
      <c r="P39" s="1624"/>
      <c r="AH39" s="1631">
        <v>0</v>
      </c>
    </row>
    <row s="1635" customFormat="1" customHeight="1" ht="18.75" hidden="1">
      <c r="A40" s="1779"/>
      <c r="B40" s="1779"/>
      <c r="C40" s="369" t="s">
        <v>1231</v>
      </c>
      <c r="D40" s="2481"/>
      <c r="E40" s="2223"/>
      <c r="F40" s="2402"/>
      <c r="G40" s="2446"/>
      <c r="H40" s="1500"/>
      <c r="I40" s="651" t="s">
        <v>1232</v>
      </c>
      <c r="J40" s="571"/>
      <c r="K40" s="1500"/>
      <c r="L40" s="214"/>
      <c r="M40" s="2189"/>
      <c r="N40" s="334"/>
      <c r="O40" s="1624"/>
      <c r="P40" s="1624"/>
      <c r="AH40" s="1631">
        <v>0</v>
      </c>
    </row>
    <row s="1635" customFormat="1" customHeight="1" ht="0.75" hidden="1">
      <c r="A41" s="1779"/>
      <c r="B41" s="1779"/>
      <c r="C41" s="369" t="s">
        <v>1237</v>
      </c>
      <c r="D41" s="2481"/>
      <c r="E41" s="2223"/>
      <c r="F41" s="2402"/>
      <c r="G41" s="400"/>
      <c r="H41" s="1500"/>
      <c r="I41" s="651"/>
      <c r="J41" s="571"/>
      <c r="K41" s="1500"/>
      <c r="L41" s="214"/>
      <c r="M41" s="2189"/>
      <c r="N41" s="334"/>
      <c r="O41" s="1624"/>
      <c r="P41" s="1624"/>
      <c r="AH41" s="1631">
        <v>0</v>
      </c>
    </row>
    <row s="1635" customFormat="1" customHeight="1" ht="18.75" hidden="1">
      <c r="A42" s="1779" t="s">
        <v>198</v>
      </c>
      <c r="B42" s="1779" t="s">
        <v>199</v>
      </c>
      <c r="C42" s="369"/>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59"/>
      <c r="I42" s="1738"/>
      <c r="J42" s="1772"/>
      <c r="K42" s="1862"/>
      <c r="L42" s="1859" t="s">
        <v>311</v>
      </c>
      <c r="M42" s="2189"/>
      <c r="N42" s="334"/>
      <c r="O42" s="1624"/>
      <c r="P42" s="1624"/>
      <c r="AH42" s="1631">
        <v>0</v>
      </c>
    </row>
    <row s="1635" customFormat="1" customHeight="1" ht="18.75" hidden="1">
      <c r="A43" s="1779"/>
      <c r="B43" s="1779"/>
      <c r="C43" s="369" t="s">
        <v>1231</v>
      </c>
      <c r="D43" s="2481"/>
      <c r="E43" s="2223"/>
      <c r="F43" s="2402"/>
      <c r="G43" s="2446"/>
      <c r="H43" s="1500"/>
      <c r="I43" s="651" t="s">
        <v>1232</v>
      </c>
      <c r="J43" s="571"/>
      <c r="K43" s="1500"/>
      <c r="L43" s="214"/>
      <c r="M43" s="2189"/>
      <c r="N43" s="334"/>
      <c r="O43" s="1624"/>
      <c r="P43" s="1624"/>
      <c r="AH43" s="1631">
        <v>0</v>
      </c>
    </row>
    <row s="1635" customFormat="1" customHeight="1" ht="0.75" hidden="1">
      <c r="A44" s="1779"/>
      <c r="B44" s="1779"/>
      <c r="C44" s="369" t="s">
        <v>1237</v>
      </c>
      <c r="D44" s="2481"/>
      <c r="E44" s="2223"/>
      <c r="F44" s="2402"/>
      <c r="G44" s="400"/>
      <c r="H44" s="1500"/>
      <c r="I44" s="651"/>
      <c r="J44" s="571"/>
      <c r="K44" s="1500"/>
      <c r="L44" s="214"/>
      <c r="M44" s="2189"/>
      <c r="N44" s="334"/>
      <c r="O44" s="1624"/>
      <c r="P44" s="1624"/>
      <c r="AH44" s="1631">
        <v>0</v>
      </c>
    </row>
    <row s="1635" customFormat="1" customHeight="1" ht="18.75" hidden="1">
      <c r="A45" s="1779" t="s">
        <v>204</v>
      </c>
      <c r="B45" s="1779" t="s">
        <v>205</v>
      </c>
      <c r="C45" s="369"/>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59"/>
      <c r="I45" s="2631"/>
      <c r="J45" s="2632"/>
      <c r="K45" s="555"/>
      <c r="L45" s="1859" t="s">
        <v>311</v>
      </c>
      <c r="M45" s="2189"/>
      <c r="N45" s="334"/>
      <c r="O45" s="1624"/>
      <c r="P45" s="1624"/>
      <c r="AH45" s="1631">
        <v>0</v>
      </c>
    </row>
    <row s="1635" customFormat="1" customHeight="1" ht="18.75" hidden="1">
      <c r="A46" s="1779"/>
      <c r="B46" s="1779"/>
      <c r="C46" s="369" t="s">
        <v>1231</v>
      </c>
      <c r="D46" s="2481"/>
      <c r="E46" s="2223"/>
      <c r="F46" s="2402"/>
      <c r="G46" s="2446"/>
      <c r="H46" s="1500"/>
      <c r="I46" s="651" t="s">
        <v>1232</v>
      </c>
      <c r="J46" s="571"/>
      <c r="K46" s="1500"/>
      <c r="L46" s="214"/>
      <c r="M46" s="2189"/>
      <c r="N46" s="334"/>
      <c r="O46" s="1624"/>
      <c r="P46" s="1624"/>
      <c r="AH46" s="1631">
        <v>0</v>
      </c>
    </row>
    <row s="1635" customFormat="1" customHeight="1" ht="0.75" hidden="1">
      <c r="A47" s="1779"/>
      <c r="B47" s="1779"/>
      <c r="C47" s="369" t="s">
        <v>1237</v>
      </c>
      <c r="D47" s="2481"/>
      <c r="E47" s="2223"/>
      <c r="F47" s="2402"/>
      <c r="G47" s="400"/>
      <c r="H47" s="1500"/>
      <c r="I47" s="651"/>
      <c r="J47" s="571"/>
      <c r="K47" s="1500"/>
      <c r="L47" s="214"/>
      <c r="M47" s="2189"/>
      <c r="N47" s="334"/>
      <c r="O47" s="1624"/>
      <c r="P47" s="1624"/>
      <c r="AH47" s="1631">
        <v>0</v>
      </c>
    </row>
    <row s="1635" customFormat="1" customHeight="1" ht="18.75" hidden="1">
      <c r="A48" s="1779" t="s">
        <v>210</v>
      </c>
      <c r="B48" s="1779" t="s">
        <v>211</v>
      </c>
      <c r="C48" s="369"/>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86"/>
      <c r="I48" s="2631"/>
      <c r="J48" s="2632"/>
      <c r="K48" s="555"/>
      <c r="L48" s="1986" t="s">
        <v>311</v>
      </c>
      <c r="M48" s="2189"/>
      <c r="N48" s="334"/>
      <c r="O48" s="1624"/>
      <c r="P48" s="1624"/>
      <c r="AH48" s="1631">
        <v>0</v>
      </c>
    </row>
    <row s="1635" customFormat="1" customHeight="1" ht="18.75" hidden="1">
      <c r="A49" s="1779"/>
      <c r="B49" s="1779"/>
      <c r="C49" s="369" t="s">
        <v>1231</v>
      </c>
      <c r="D49" s="2481"/>
      <c r="E49" s="2223"/>
      <c r="F49" s="2402"/>
      <c r="G49" s="2446"/>
      <c r="H49" s="1500"/>
      <c r="I49" s="651" t="s">
        <v>1232</v>
      </c>
      <c r="J49" s="571"/>
      <c r="K49" s="1500"/>
      <c r="L49" s="214"/>
      <c r="M49" s="2189"/>
      <c r="N49" s="334"/>
      <c r="O49" s="1624"/>
      <c r="P49" s="1624"/>
      <c r="AH49" s="1631">
        <v>0</v>
      </c>
    </row>
    <row s="1635" customFormat="1" customHeight="1" ht="0.75" hidden="1">
      <c r="A50" s="1779"/>
      <c r="B50" s="1779"/>
      <c r="C50" s="369" t="s">
        <v>1237</v>
      </c>
      <c r="D50" s="2481"/>
      <c r="E50" s="2223"/>
      <c r="F50" s="2402"/>
      <c r="G50" s="400"/>
      <c r="H50" s="1500"/>
      <c r="I50" s="651"/>
      <c r="J50" s="571"/>
      <c r="K50" s="1500"/>
      <c r="L50" s="214"/>
      <c r="M50" s="2189"/>
      <c r="N50" s="334"/>
      <c r="O50" s="1624"/>
      <c r="P50" s="1624"/>
      <c r="AH50" s="1631">
        <v>0</v>
      </c>
    </row>
    <row s="1635" customFormat="1" customHeight="1" ht="18.75" hidden="1">
      <c r="A51" s="1779" t="s">
        <v>230</v>
      </c>
      <c r="B51" s="1779" t="s">
        <v>231</v>
      </c>
      <c r="C51" s="369"/>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59"/>
      <c r="I51" s="1738"/>
      <c r="J51" s="1772"/>
      <c r="K51" s="1862"/>
      <c r="L51" s="1859" t="s">
        <v>311</v>
      </c>
      <c r="M51" s="2189"/>
      <c r="N51" s="334"/>
      <c r="O51" s="1624"/>
      <c r="P51" s="1624"/>
      <c r="AH51" s="1631">
        <v>0</v>
      </c>
    </row>
    <row s="1635" customFormat="1" customHeight="1" ht="18.75" hidden="1">
      <c r="A52" s="1779"/>
      <c r="B52" s="1779"/>
      <c r="C52" s="369" t="s">
        <v>1231</v>
      </c>
      <c r="D52" s="2481"/>
      <c r="E52" s="2223"/>
      <c r="F52" s="2402"/>
      <c r="G52" s="2446"/>
      <c r="H52" s="1500"/>
      <c r="I52" s="651" t="s">
        <v>1232</v>
      </c>
      <c r="J52" s="571"/>
      <c r="K52" s="1500"/>
      <c r="L52" s="214"/>
      <c r="M52" s="2189"/>
      <c r="N52" s="334"/>
      <c r="O52" s="1624"/>
      <c r="P52" s="1624"/>
      <c r="AH52" s="1631">
        <v>0</v>
      </c>
    </row>
    <row s="1635" customFormat="1" customHeight="1" ht="0.75" hidden="1">
      <c r="A53" s="1779"/>
      <c r="B53" s="1779"/>
      <c r="C53" s="369" t="s">
        <v>1237</v>
      </c>
      <c r="D53" s="2481"/>
      <c r="E53" s="2223"/>
      <c r="F53" s="2402"/>
      <c r="G53" s="400"/>
      <c r="H53" s="1500"/>
      <c r="I53" s="651"/>
      <c r="J53" s="571"/>
      <c r="K53" s="1500"/>
      <c r="L53" s="214"/>
      <c r="M53" s="2189"/>
      <c r="N53" s="334"/>
      <c r="O53" s="1624"/>
      <c r="P53" s="1624"/>
      <c r="AH53" s="1631">
        <v>0</v>
      </c>
    </row>
    <row s="1635" customFormat="1" customHeight="1" ht="18.75" hidden="1">
      <c r="A54" s="1779" t="s">
        <v>235</v>
      </c>
      <c r="B54" s="1779" t="s">
        <v>236</v>
      </c>
      <c r="C54" s="369"/>
      <c r="D54" s="2481"/>
      <c r="E54" s="2223"/>
      <c r="F54" s="2402" t="str">
        <f>INDEX(PT_DIFFERENTIATION_VTAR,MATCH(A54,PT_DIFFERENTIATION_VTAR_ID,0))</f>
        <v>Тариф на техническую воду</v>
      </c>
      <c r="G54" s="2446" t="str">
        <f>INDEX(PT_DIFFERENTIATION_NTAR,MATCH(B54,PT_DIFFERENTIATION_NTAR_ID,0))</f>
        <v/>
      </c>
      <c r="H54" s="1859"/>
      <c r="I54" s="1738"/>
      <c r="J54" s="1772"/>
      <c r="K54" s="1862"/>
      <c r="L54" s="1859" t="s">
        <v>311</v>
      </c>
      <c r="M54" s="2189"/>
      <c r="N54" s="334"/>
      <c r="O54" s="1624"/>
      <c r="P54" s="1624"/>
      <c r="AH54" s="1631">
        <v>0</v>
      </c>
    </row>
    <row s="1635" customFormat="1" customHeight="1" ht="18.75" hidden="1">
      <c r="A55" s="1779"/>
      <c r="B55" s="1779"/>
      <c r="C55" s="369" t="s">
        <v>1231</v>
      </c>
      <c r="D55" s="2481"/>
      <c r="E55" s="2223"/>
      <c r="F55" s="2402"/>
      <c r="G55" s="2446"/>
      <c r="H55" s="1500"/>
      <c r="I55" s="651" t="s">
        <v>1232</v>
      </c>
      <c r="J55" s="571"/>
      <c r="K55" s="1500"/>
      <c r="L55" s="214"/>
      <c r="M55" s="2189"/>
      <c r="N55" s="334"/>
      <c r="O55" s="1624"/>
      <c r="P55" s="1624"/>
      <c r="AH55" s="1631">
        <v>0</v>
      </c>
    </row>
    <row s="1635" customFormat="1" customHeight="1" ht="0.75" hidden="1">
      <c r="A56" s="1779"/>
      <c r="B56" s="1779"/>
      <c r="C56" s="369" t="s">
        <v>1237</v>
      </c>
      <c r="D56" s="2481"/>
      <c r="E56" s="2223"/>
      <c r="F56" s="2402"/>
      <c r="G56" s="400"/>
      <c r="H56" s="1500"/>
      <c r="I56" s="651"/>
      <c r="J56" s="571"/>
      <c r="K56" s="1500"/>
      <c r="L56" s="214"/>
      <c r="M56" s="2189"/>
      <c r="N56" s="334"/>
      <c r="O56" s="1624"/>
      <c r="P56" s="1624"/>
      <c r="AH56" s="1631">
        <v>0</v>
      </c>
    </row>
    <row s="1635" customFormat="1" customHeight="1" ht="18.75" hidden="1">
      <c r="A57" s="1779" t="s">
        <v>240</v>
      </c>
      <c r="B57" s="1779" t="s">
        <v>241</v>
      </c>
      <c r="C57" s="369"/>
      <c r="D57" s="2481"/>
      <c r="E57" s="2223"/>
      <c r="F57" s="2402" t="str">
        <f>INDEX(PT_DIFFERENTIATION_VTAR,MATCH(A57,PT_DIFFERENTIATION_VTAR_ID,0))</f>
        <v>Тариф на транспортировку воды</v>
      </c>
      <c r="G57" s="2446" t="str">
        <f>INDEX(PT_DIFFERENTIATION_NTAR,MATCH(B57,PT_DIFFERENTIATION_NTAR_ID,0))</f>
        <v/>
      </c>
      <c r="H57" s="1859"/>
      <c r="I57" s="1738"/>
      <c r="J57" s="1772"/>
      <c r="K57" s="1862"/>
      <c r="L57" s="1859" t="s">
        <v>311</v>
      </c>
      <c r="M57" s="2189"/>
      <c r="N57" s="334"/>
      <c r="O57" s="1624"/>
      <c r="P57" s="1624"/>
      <c r="AH57" s="1631">
        <v>0</v>
      </c>
    </row>
    <row s="1635" customFormat="1" customHeight="1" ht="18.75" hidden="1">
      <c r="A58" s="1779"/>
      <c r="B58" s="1779"/>
      <c r="C58" s="369" t="s">
        <v>1231</v>
      </c>
      <c r="D58" s="2481"/>
      <c r="E58" s="2223"/>
      <c r="F58" s="2402"/>
      <c r="G58" s="2446"/>
      <c r="H58" s="1500"/>
      <c r="I58" s="651" t="s">
        <v>1232</v>
      </c>
      <c r="J58" s="571"/>
      <c r="K58" s="1500"/>
      <c r="L58" s="214"/>
      <c r="M58" s="2189"/>
      <c r="N58" s="334"/>
      <c r="O58" s="1624"/>
      <c r="P58" s="1624"/>
      <c r="AH58" s="1631">
        <v>0</v>
      </c>
    </row>
    <row s="1635" customFormat="1" customHeight="1" ht="0.75" hidden="1">
      <c r="A59" s="1779"/>
      <c r="B59" s="1779"/>
      <c r="C59" s="369" t="s">
        <v>1237</v>
      </c>
      <c r="D59" s="2481"/>
      <c r="E59" s="2223"/>
      <c r="F59" s="2402"/>
      <c r="G59" s="400"/>
      <c r="H59" s="1500"/>
      <c r="I59" s="651"/>
      <c r="J59" s="571"/>
      <c r="K59" s="1500"/>
      <c r="L59" s="214"/>
      <c r="M59" s="2189"/>
      <c r="N59" s="334"/>
      <c r="O59" s="1624"/>
      <c r="P59" s="1624"/>
      <c r="AH59" s="1631">
        <v>0</v>
      </c>
    </row>
    <row s="1635" customFormat="1" customHeight="1" ht="18.75" hidden="1">
      <c r="A60" s="1779" t="s">
        <v>245</v>
      </c>
      <c r="B60" s="1779" t="s">
        <v>246</v>
      </c>
      <c r="C60" s="369"/>
      <c r="D60" s="2481"/>
      <c r="E60" s="2223"/>
      <c r="F60" s="2402" t="str">
        <f>INDEX(PT_DIFFERENTIATION_VTAR,MATCH(A60,PT_DIFFERENTIATION_VTAR_ID,0))</f>
        <v>Тариф на подвоз воды</v>
      </c>
      <c r="G60" s="2446" t="str">
        <f>INDEX(PT_DIFFERENTIATION_NTAR,MATCH(B60,PT_DIFFERENTIATION_NTAR_ID,0))</f>
        <v/>
      </c>
      <c r="H60" s="1859"/>
      <c r="I60" s="1738"/>
      <c r="J60" s="1772"/>
      <c r="K60" s="1862"/>
      <c r="L60" s="1859" t="s">
        <v>311</v>
      </c>
      <c r="M60" s="2189"/>
      <c r="N60" s="334"/>
      <c r="O60" s="1624"/>
      <c r="P60" s="1624"/>
      <c r="AH60" s="1631">
        <v>0</v>
      </c>
    </row>
    <row s="1635" customFormat="1" customHeight="1" ht="18.75" hidden="1">
      <c r="A61" s="1779"/>
      <c r="B61" s="1779"/>
      <c r="C61" s="369" t="s">
        <v>1231</v>
      </c>
      <c r="D61" s="2481"/>
      <c r="E61" s="2223"/>
      <c r="F61" s="2402"/>
      <c r="G61" s="2446"/>
      <c r="H61" s="1500"/>
      <c r="I61" s="651" t="s">
        <v>1232</v>
      </c>
      <c r="J61" s="571"/>
      <c r="K61" s="1500"/>
      <c r="L61" s="214"/>
      <c r="M61" s="2189"/>
      <c r="N61" s="334"/>
      <c r="O61" s="1624"/>
      <c r="P61" s="1624"/>
      <c r="AH61" s="1631">
        <v>0</v>
      </c>
    </row>
    <row s="1635" customFormat="1" customHeight="1" ht="0.75" hidden="1">
      <c r="A62" s="1779"/>
      <c r="B62" s="1779"/>
      <c r="C62" s="369" t="s">
        <v>1237</v>
      </c>
      <c r="D62" s="2481"/>
      <c r="E62" s="2223"/>
      <c r="F62" s="2402"/>
      <c r="G62" s="400"/>
      <c r="H62" s="1500"/>
      <c r="I62" s="651"/>
      <c r="J62" s="571"/>
      <c r="K62" s="1500"/>
      <c r="L62" s="214"/>
      <c r="M62" s="2189"/>
      <c r="N62" s="334"/>
      <c r="O62" s="1624"/>
      <c r="P62" s="1624"/>
      <c r="AH62" s="1631">
        <v>0</v>
      </c>
    </row>
    <row s="1635" customFormat="1" customHeight="1" ht="18.75" hidden="1">
      <c r="A63" s="1779" t="s">
        <v>250</v>
      </c>
      <c r="B63" s="1779" t="s">
        <v>251</v>
      </c>
      <c r="C63" s="369"/>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59"/>
      <c r="I63" s="2631"/>
      <c r="J63" s="2632"/>
      <c r="K63" s="555"/>
      <c r="L63" s="1859" t="s">
        <v>311</v>
      </c>
      <c r="M63" s="2189"/>
      <c r="N63" s="334"/>
      <c r="O63" s="1624"/>
      <c r="P63" s="1624"/>
      <c r="AH63" s="1631">
        <v>0</v>
      </c>
    </row>
    <row s="1635" customFormat="1" customHeight="1" ht="18.75" hidden="1">
      <c r="A64" s="1779"/>
      <c r="B64" s="1779"/>
      <c r="C64" s="369" t="s">
        <v>1231</v>
      </c>
      <c r="D64" s="2481"/>
      <c r="E64" s="2223"/>
      <c r="F64" s="2402"/>
      <c r="G64" s="2446"/>
      <c r="H64" s="1500"/>
      <c r="I64" s="651" t="s">
        <v>1232</v>
      </c>
      <c r="J64" s="571"/>
      <c r="K64" s="1500"/>
      <c r="L64" s="214"/>
      <c r="M64" s="2189"/>
      <c r="N64" s="334"/>
      <c r="O64" s="1624"/>
      <c r="P64" s="1624"/>
      <c r="AH64" s="1631">
        <v>0</v>
      </c>
    </row>
    <row s="1635" customFormat="1" customHeight="1" ht="0.75" hidden="1">
      <c r="A65" s="1779"/>
      <c r="B65" s="1779"/>
      <c r="C65" s="369" t="s">
        <v>1237</v>
      </c>
      <c r="D65" s="2481"/>
      <c r="E65" s="2223"/>
      <c r="F65" s="2402"/>
      <c r="G65" s="400"/>
      <c r="H65" s="1500"/>
      <c r="I65" s="651"/>
      <c r="J65" s="571"/>
      <c r="K65" s="1500"/>
      <c r="L65" s="214"/>
      <c r="M65" s="2189"/>
      <c r="N65" s="334"/>
      <c r="O65" s="1624"/>
      <c r="P65" s="1624"/>
      <c r="AH65" s="1631">
        <v>0</v>
      </c>
    </row>
    <row s="1635" customFormat="1" customHeight="1" ht="18.75" hidden="1">
      <c r="A66" s="1779" t="s">
        <v>255</v>
      </c>
      <c r="B66" s="1779" t="s">
        <v>256</v>
      </c>
      <c r="C66" s="369"/>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59"/>
      <c r="I66" s="1738"/>
      <c r="J66" s="1772"/>
      <c r="K66" s="1862"/>
      <c r="L66" s="1859" t="s">
        <v>311</v>
      </c>
      <c r="M66" s="2189"/>
      <c r="N66" s="334"/>
      <c r="O66" s="1624"/>
      <c r="P66" s="1624"/>
      <c r="AH66" s="1631">
        <v>0</v>
      </c>
    </row>
    <row s="1635" customFormat="1" customHeight="1" ht="18.75" hidden="1">
      <c r="A67" s="1779"/>
      <c r="B67" s="1779"/>
      <c r="C67" s="369" t="s">
        <v>1231</v>
      </c>
      <c r="D67" s="2481"/>
      <c r="E67" s="2223"/>
      <c r="F67" s="2402"/>
      <c r="G67" s="2446"/>
      <c r="H67" s="1500"/>
      <c r="I67" s="651" t="s">
        <v>1232</v>
      </c>
      <c r="J67" s="571"/>
      <c r="K67" s="1500"/>
      <c r="L67" s="214"/>
      <c r="M67" s="2189"/>
      <c r="N67" s="334"/>
      <c r="O67" s="1624"/>
      <c r="P67" s="1624"/>
      <c r="AH67" s="1631">
        <v>0</v>
      </c>
    </row>
    <row s="1635" customFormat="1" customHeight="1" ht="0.75" hidden="1">
      <c r="A68" s="1779"/>
      <c r="B68" s="1779"/>
      <c r="C68" s="369" t="s">
        <v>1237</v>
      </c>
      <c r="D68" s="2481"/>
      <c r="E68" s="2223"/>
      <c r="F68" s="2402"/>
      <c r="G68" s="400"/>
      <c r="H68" s="1500"/>
      <c r="I68" s="651"/>
      <c r="J68" s="571"/>
      <c r="K68" s="1500"/>
      <c r="L68" s="214"/>
      <c r="M68" s="2189"/>
      <c r="N68" s="334"/>
      <c r="O68" s="1624"/>
      <c r="P68" s="1624"/>
      <c r="AH68" s="1631">
        <v>0</v>
      </c>
    </row>
    <row s="1635" customFormat="1" customHeight="1" ht="18.75" hidden="1">
      <c r="A69" s="1779" t="s">
        <v>260</v>
      </c>
      <c r="B69" s="1779" t="s">
        <v>261</v>
      </c>
      <c r="C69" s="369"/>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59"/>
      <c r="I69" s="1738"/>
      <c r="J69" s="1772"/>
      <c r="K69" s="1862"/>
      <c r="L69" s="1859" t="s">
        <v>311</v>
      </c>
      <c r="M69" s="2189"/>
      <c r="N69" s="334"/>
      <c r="O69" s="1624"/>
      <c r="P69" s="1624"/>
      <c r="AH69" s="1631">
        <v>0</v>
      </c>
    </row>
    <row s="1635" customFormat="1" customHeight="1" ht="18.75" hidden="1">
      <c r="A70" s="1779"/>
      <c r="B70" s="1779"/>
      <c r="C70" s="369" t="s">
        <v>1231</v>
      </c>
      <c r="D70" s="2481"/>
      <c r="E70" s="2223"/>
      <c r="F70" s="2402"/>
      <c r="G70" s="2446"/>
      <c r="H70" s="1500"/>
      <c r="I70" s="651" t="s">
        <v>1232</v>
      </c>
      <c r="J70" s="571"/>
      <c r="K70" s="1500"/>
      <c r="L70" s="214"/>
      <c r="M70" s="2189"/>
      <c r="N70" s="334"/>
      <c r="O70" s="1624"/>
      <c r="P70" s="1624"/>
      <c r="AH70" s="1631">
        <v>0</v>
      </c>
    </row>
    <row s="1635" customFormat="1" customHeight="1" ht="0.75" hidden="1">
      <c r="A71" s="1779"/>
      <c r="B71" s="1779"/>
      <c r="C71" s="369" t="s">
        <v>1237</v>
      </c>
      <c r="D71" s="2481"/>
      <c r="E71" s="2223"/>
      <c r="F71" s="2402"/>
      <c r="G71" s="400"/>
      <c r="H71" s="1500"/>
      <c r="I71" s="651"/>
      <c r="J71" s="571"/>
      <c r="K71" s="1500"/>
      <c r="L71" s="214"/>
      <c r="M71" s="2189"/>
      <c r="N71" s="334"/>
      <c r="O71" s="1624"/>
      <c r="P71" s="1624"/>
      <c r="AH71" s="1631">
        <v>0</v>
      </c>
    </row>
    <row s="1635" customFormat="1" customHeight="1" ht="18.75" hidden="1">
      <c r="A72" s="1779" t="s">
        <v>265</v>
      </c>
      <c r="B72" s="1779" t="s">
        <v>266</v>
      </c>
      <c r="C72" s="369"/>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59"/>
      <c r="I72" s="2631"/>
      <c r="J72" s="2632"/>
      <c r="K72" s="555"/>
      <c r="L72" s="1859" t="s">
        <v>311</v>
      </c>
      <c r="M72" s="2189"/>
      <c r="N72" s="334"/>
      <c r="O72" s="1624"/>
      <c r="P72" s="1624"/>
      <c r="AH72" s="1631">
        <v>0</v>
      </c>
    </row>
    <row s="1635" customFormat="1" customHeight="1" ht="18.75" hidden="1">
      <c r="A73" s="1779"/>
      <c r="B73" s="1779"/>
      <c r="C73" s="369" t="s">
        <v>1231</v>
      </c>
      <c r="D73" s="2481"/>
      <c r="E73" s="2223"/>
      <c r="F73" s="2402"/>
      <c r="G73" s="2446"/>
      <c r="H73" s="1500"/>
      <c r="I73" s="651" t="s">
        <v>1232</v>
      </c>
      <c r="J73" s="571"/>
      <c r="K73" s="1500"/>
      <c r="L73" s="214"/>
      <c r="M73" s="2189"/>
      <c r="N73" s="334"/>
      <c r="O73" s="1624"/>
      <c r="P73" s="1624"/>
      <c r="AH73" s="1631">
        <v>0</v>
      </c>
    </row>
    <row s="1635" customFormat="1" customHeight="1" ht="0.75" hidden="1">
      <c r="A74" s="1779"/>
      <c r="B74" s="1779"/>
      <c r="C74" s="369" t="s">
        <v>1237</v>
      </c>
      <c r="D74" s="2481"/>
      <c r="E74" s="2223"/>
      <c r="F74" s="2402"/>
      <c r="G74" s="400"/>
      <c r="H74" s="1500"/>
      <c r="I74" s="651"/>
      <c r="J74" s="571"/>
      <c r="K74" s="1500"/>
      <c r="L74" s="214"/>
      <c r="M74" s="2189"/>
      <c r="N74" s="334"/>
      <c r="O74" s="1624"/>
      <c r="P74" s="1624"/>
      <c r="AH74" s="1631">
        <v>0</v>
      </c>
    </row>
    <row s="1635" customFormat="1" customHeight="1" ht="18.75" hidden="1">
      <c r="A75" s="1779" t="s">
        <v>270</v>
      </c>
      <c r="B75" s="1779" t="s">
        <v>271</v>
      </c>
      <c r="C75" s="369"/>
      <c r="D75" s="2481"/>
      <c r="E75" s="2223"/>
      <c r="F75" s="2402" t="str">
        <f>INDEX(PT_DIFFERENTIATION_VTAR,MATCH(A75,PT_DIFFERENTIATION_VTAR_ID,0))</f>
        <v>Тариф на водоотведение</v>
      </c>
      <c r="G75" s="2446" t="str">
        <f>INDEX(PT_DIFFERENTIATION_NTAR,MATCH(B75,PT_DIFFERENTIATION_NTAR_ID,0))</f>
        <v/>
      </c>
      <c r="H75" s="1859"/>
      <c r="I75" s="1738"/>
      <c r="J75" s="1772"/>
      <c r="K75" s="1862"/>
      <c r="L75" s="1859" t="s">
        <v>311</v>
      </c>
      <c r="M75" s="2189"/>
      <c r="N75" s="334"/>
      <c r="O75" s="1624"/>
      <c r="P75" s="1624"/>
      <c r="AH75" s="1631">
        <v>0</v>
      </c>
    </row>
    <row s="1635" customFormat="1" customHeight="1" ht="18.75" hidden="1">
      <c r="A76" s="1779"/>
      <c r="B76" s="1779"/>
      <c r="C76" s="369" t="s">
        <v>1231</v>
      </c>
      <c r="D76" s="2481"/>
      <c r="E76" s="2223"/>
      <c r="F76" s="2402"/>
      <c r="G76" s="2446"/>
      <c r="H76" s="1500"/>
      <c r="I76" s="651" t="s">
        <v>1232</v>
      </c>
      <c r="J76" s="571"/>
      <c r="K76" s="1500"/>
      <c r="L76" s="214"/>
      <c r="M76" s="2189"/>
      <c r="N76" s="334"/>
      <c r="O76" s="1624"/>
      <c r="P76" s="1624"/>
      <c r="AH76" s="1631">
        <v>0</v>
      </c>
    </row>
    <row s="1635" customFormat="1" customHeight="1" ht="0.75" hidden="1">
      <c r="A77" s="1779"/>
      <c r="B77" s="1779"/>
      <c r="C77" s="369" t="s">
        <v>1237</v>
      </c>
      <c r="D77" s="2481"/>
      <c r="E77" s="2223"/>
      <c r="F77" s="2402"/>
      <c r="G77" s="400"/>
      <c r="H77" s="1500"/>
      <c r="I77" s="651"/>
      <c r="J77" s="571"/>
      <c r="K77" s="1500"/>
      <c r="L77" s="214"/>
      <c r="M77" s="2189"/>
      <c r="N77" s="334"/>
      <c r="O77" s="1624"/>
      <c r="P77" s="1624"/>
      <c r="AH77" s="1631">
        <v>0</v>
      </c>
    </row>
    <row s="1635" customFormat="1" customHeight="1" ht="18.75" hidden="1">
      <c r="A78" s="1779" t="s">
        <v>275</v>
      </c>
      <c r="B78" s="1779" t="s">
        <v>276</v>
      </c>
      <c r="C78" s="369"/>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59"/>
      <c r="I78" s="1738"/>
      <c r="J78" s="1772"/>
      <c r="K78" s="1862"/>
      <c r="L78" s="1859" t="s">
        <v>311</v>
      </c>
      <c r="M78" s="2189"/>
      <c r="N78" s="334"/>
      <c r="O78" s="1624"/>
      <c r="P78" s="1624"/>
      <c r="AH78" s="1631">
        <v>0</v>
      </c>
    </row>
    <row s="1635" customFormat="1" customHeight="1" ht="18.75" hidden="1">
      <c r="A79" s="1779"/>
      <c r="B79" s="1779"/>
      <c r="C79" s="369" t="s">
        <v>1231</v>
      </c>
      <c r="D79" s="2481"/>
      <c r="E79" s="2223"/>
      <c r="F79" s="2402"/>
      <c r="G79" s="2446"/>
      <c r="H79" s="1500"/>
      <c r="I79" s="651" t="s">
        <v>1232</v>
      </c>
      <c r="J79" s="571"/>
      <c r="K79" s="1500"/>
      <c r="L79" s="214"/>
      <c r="M79" s="2189"/>
      <c r="N79" s="334"/>
      <c r="O79" s="1624"/>
      <c r="P79" s="1624"/>
      <c r="AH79" s="1631">
        <v>0</v>
      </c>
    </row>
    <row s="1635" customFormat="1" customHeight="1" ht="0.75" hidden="1">
      <c r="A80" s="1779"/>
      <c r="B80" s="1779"/>
      <c r="C80" s="369" t="s">
        <v>1237</v>
      </c>
      <c r="D80" s="2481"/>
      <c r="E80" s="2223"/>
      <c r="F80" s="2402"/>
      <c r="G80" s="400"/>
      <c r="H80" s="1500"/>
      <c r="I80" s="651"/>
      <c r="J80" s="571"/>
      <c r="K80" s="1500"/>
      <c r="L80" s="214"/>
      <c r="M80" s="2189"/>
      <c r="N80" s="334"/>
      <c r="O80" s="1624"/>
      <c r="P80" s="1624"/>
      <c r="AH80" s="1631">
        <v>0</v>
      </c>
    </row>
    <row s="1635" customFormat="1" customHeight="1" ht="18.75" hidden="1">
      <c r="A81" s="1779" t="s">
        <v>280</v>
      </c>
      <c r="B81" s="1779" t="s">
        <v>281</v>
      </c>
      <c r="C81" s="369"/>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59"/>
      <c r="I81" s="2631"/>
      <c r="J81" s="2632"/>
      <c r="K81" s="555"/>
      <c r="L81" s="1859" t="s">
        <v>311</v>
      </c>
      <c r="M81" s="2189"/>
      <c r="N81" s="334"/>
      <c r="O81" s="1624"/>
      <c r="P81" s="1624"/>
      <c r="AH81" s="1631">
        <v>0</v>
      </c>
    </row>
    <row s="1635" customFormat="1" customHeight="1" ht="18.75" hidden="1">
      <c r="A82" s="1779"/>
      <c r="B82" s="1779"/>
      <c r="C82" s="369" t="s">
        <v>1231</v>
      </c>
      <c r="D82" s="2481"/>
      <c r="E82" s="2223"/>
      <c r="F82" s="2402"/>
      <c r="G82" s="2446"/>
      <c r="H82" s="1500"/>
      <c r="I82" s="651" t="s">
        <v>1232</v>
      </c>
      <c r="J82" s="571"/>
      <c r="K82" s="1500"/>
      <c r="L82" s="214"/>
      <c r="M82" s="2189"/>
      <c r="N82" s="334"/>
      <c r="O82" s="1624"/>
      <c r="P82" s="1624"/>
      <c r="AH82" s="1631">
        <v>0</v>
      </c>
    </row>
    <row s="1635" customFormat="1" customHeight="1" ht="1.05">
      <c r="A83" s="1779"/>
      <c r="B83" s="1779"/>
      <c r="C83" s="369" t="s">
        <v>1237</v>
      </c>
      <c r="D83" s="2481"/>
      <c r="E83" s="2223"/>
      <c r="F83" s="2402"/>
      <c r="G83" s="400"/>
      <c r="H83" s="1500"/>
      <c r="I83" s="651"/>
      <c r="J83" s="571"/>
      <c r="K83" s="1500"/>
      <c r="L83" s="214"/>
      <c r="M83" s="2189"/>
      <c r="N83" s="334"/>
      <c r="O83" s="1624"/>
      <c r="P83" s="1624"/>
      <c r="AH83" s="1631">
        <v>1</v>
      </c>
    </row>
    <row customHeight="1" ht="19.95">
      <c r="A84" s="1779"/>
      <c r="B84" s="1779"/>
      <c r="D84" s="376"/>
      <c r="E84" s="147" t="s">
        <v>111</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9"/>
      <c r="H84" s="2479"/>
      <c r="I84" s="2479"/>
      <c r="J84" s="2479"/>
      <c r="K84" s="2479"/>
      <c r="L84" s="2479"/>
      <c r="M84" s="297"/>
      <c r="N84" s="334"/>
      <c r="AH84" s="374">
        <v>19</v>
      </c>
    </row>
    <row customHeight="1" ht="35.699999999999996">
      <c r="A85" s="1779"/>
      <c r="B85" s="1779"/>
      <c r="D85" s="376"/>
      <c r="E85" s="399"/>
      <c r="F85" s="198" t="s">
        <v>311</v>
      </c>
      <c r="G85" s="198" t="s">
        <v>311</v>
      </c>
      <c r="H85" s="2237" t="s">
        <v>311</v>
      </c>
      <c r="I85" s="2239"/>
      <c r="J85" s="198" t="s">
        <v>311</v>
      </c>
      <c r="K85" s="198" t="s">
        <v>311</v>
      </c>
      <c r="L85" s="401"/>
      <c r="M85" s="345" t="s">
        <v>1238</v>
      </c>
      <c r="N85" s="334"/>
      <c r="AH85" s="374">
        <v>34</v>
      </c>
    </row>
    <row customHeight="1" ht="19.95">
      <c r="A86" s="1779"/>
      <c r="B86" s="1779"/>
      <c r="D86" s="376"/>
      <c r="E86" s="147" t="s">
        <v>91</v>
      </c>
      <c r="F86" s="2479" t="s">
        <v>1239</v>
      </c>
      <c r="G86" s="2479"/>
      <c r="H86" s="2479"/>
      <c r="I86" s="2479"/>
      <c r="J86" s="2479"/>
      <c r="K86" s="2479"/>
      <c r="L86" s="2479"/>
      <c r="M86" s="297"/>
      <c r="N86" s="334"/>
      <c r="AH86" s="374">
        <v>19</v>
      </c>
    </row>
    <row s="1635" customFormat="1" customHeight="1" ht="60.75" hidden="1">
      <c r="A87" s="1779" t="s">
        <v>162</v>
      </c>
      <c r="B87" s="1779" t="s">
        <v>163</v>
      </c>
      <c r="C87" s="369"/>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59"/>
      <c r="I87" s="1738"/>
      <c r="J87" s="1772"/>
      <c r="K87" s="1777"/>
      <c r="L87" s="1859" t="s">
        <v>311</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1233</v>
      </c>
      <c r="D88" s="2481"/>
      <c r="E88" s="2223"/>
      <c r="F88" s="2402"/>
      <c r="G88" s="2446"/>
      <c r="H88" s="1500"/>
      <c r="I88" s="651" t="s">
        <v>1232</v>
      </c>
      <c r="J88" s="571"/>
      <c r="K88" s="1500"/>
      <c r="L88" s="214"/>
      <c r="M88" s="2189"/>
      <c r="N88" s="334"/>
      <c r="O88" s="1624"/>
      <c r="P88" s="1624"/>
      <c r="AH88" s="1631">
        <v>0</v>
      </c>
    </row>
    <row s="1635" customFormat="1" customHeight="1" ht="0.75" hidden="1">
      <c r="A89" s="1779"/>
      <c r="B89" s="1779"/>
      <c r="C89" s="369" t="s">
        <v>1240</v>
      </c>
      <c r="D89" s="2481"/>
      <c r="E89" s="2223"/>
      <c r="F89" s="2402"/>
      <c r="G89" s="400"/>
      <c r="H89" s="1500"/>
      <c r="I89" s="651"/>
      <c r="J89" s="571"/>
      <c r="K89" s="1500"/>
      <c r="L89" s="214"/>
      <c r="M89" s="2189"/>
      <c r="N89" s="334"/>
      <c r="O89" s="1624"/>
      <c r="P89" s="1624"/>
      <c r="AH89" s="1631">
        <v>0</v>
      </c>
    </row>
    <row s="1635" customFormat="1" customHeight="1" ht="45" hidden="1">
      <c r="A90" s="1779" t="s">
        <v>167</v>
      </c>
      <c r="B90" s="1779" t="s">
        <v>168</v>
      </c>
      <c r="C90" s="369"/>
      <c r="D90" s="2481"/>
      <c r="E90" s="2223"/>
      <c r="F90" s="2402" t="str">
        <f>INDEX(PT_DIFFERENTIATION_VTAR,MATCH(A90,PT_DIFFERENTIATION_VTAR_ID,0))</f>
        <v/>
      </c>
      <c r="G90" s="2446" t="str">
        <f>INDEX(PT_DIFFERENTIATION_NTAR,MATCH(B90,PT_DIFFERENTIATION_NTAR_ID,0))</f>
        <v/>
      </c>
      <c r="H90" s="1859"/>
      <c r="I90" s="1738"/>
      <c r="J90" s="1772"/>
      <c r="K90" s="1777"/>
      <c r="L90" s="1859" t="s">
        <v>311</v>
      </c>
      <c r="M90" s="2190"/>
      <c r="N90" s="334"/>
      <c r="O90" s="1624"/>
      <c r="P90" s="1624"/>
      <c r="AH90" s="1631">
        <v>0</v>
      </c>
    </row>
    <row s="1635" customFormat="1" customHeight="1" ht="18.75" hidden="1">
      <c r="A91" s="1779"/>
      <c r="B91" s="1779"/>
      <c r="C91" s="369" t="s">
        <v>1233</v>
      </c>
      <c r="D91" s="2481"/>
      <c r="E91" s="2223"/>
      <c r="F91" s="2402"/>
      <c r="G91" s="2446"/>
      <c r="H91" s="1500"/>
      <c r="I91" s="651" t="s">
        <v>1232</v>
      </c>
      <c r="J91" s="571"/>
      <c r="K91" s="1500"/>
      <c r="L91" s="214"/>
      <c r="M91" s="1858"/>
      <c r="N91" s="334"/>
      <c r="O91" s="1624"/>
      <c r="P91" s="1624"/>
      <c r="AH91" s="1631">
        <v>0</v>
      </c>
    </row>
    <row s="1635" customFormat="1" customHeight="1" ht="0.75" hidden="1">
      <c r="A92" s="1779"/>
      <c r="B92" s="1779"/>
      <c r="C92" s="369" t="s">
        <v>1240</v>
      </c>
      <c r="D92" s="2481"/>
      <c r="E92" s="2223"/>
      <c r="F92" s="2402"/>
      <c r="G92" s="400"/>
      <c r="H92" s="1500"/>
      <c r="I92" s="651"/>
      <c r="J92" s="571"/>
      <c r="K92" s="1500"/>
      <c r="L92" s="214"/>
      <c r="M92" s="341"/>
      <c r="N92" s="334"/>
      <c r="O92" s="1624"/>
      <c r="P92" s="1624"/>
      <c r="AH92" s="1631">
        <v>0</v>
      </c>
    </row>
    <row s="1635" customFormat="1" customHeight="1" ht="45" hidden="1">
      <c r="A93" s="1779" t="s">
        <v>174</v>
      </c>
      <c r="B93" s="1779" t="s">
        <v>175</v>
      </c>
      <c r="C93" s="369"/>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59"/>
      <c r="I93" s="1738"/>
      <c r="J93" s="1772"/>
      <c r="K93" s="1777"/>
      <c r="L93" s="1859" t="s">
        <v>311</v>
      </c>
      <c r="M93" s="341"/>
      <c r="N93" s="334"/>
      <c r="O93" s="1624"/>
      <c r="P93" s="1624"/>
      <c r="AH93" s="1631">
        <v>0</v>
      </c>
    </row>
    <row s="1635" customFormat="1" customHeight="1" ht="18.75" hidden="1">
      <c r="A94" s="1779"/>
      <c r="B94" s="1779"/>
      <c r="C94" s="369" t="s">
        <v>1233</v>
      </c>
      <c r="D94" s="2481"/>
      <c r="E94" s="2223"/>
      <c r="F94" s="2402"/>
      <c r="G94" s="2446"/>
      <c r="H94" s="1500"/>
      <c r="I94" s="651" t="s">
        <v>1232</v>
      </c>
      <c r="J94" s="571"/>
      <c r="K94" s="1500"/>
      <c r="L94" s="214"/>
      <c r="M94" s="341"/>
      <c r="N94" s="334"/>
      <c r="O94" s="1624"/>
      <c r="P94" s="1624"/>
      <c r="AH94" s="1631">
        <v>0</v>
      </c>
    </row>
    <row s="1635" customFormat="1" customHeight="1" ht="0.75" hidden="1">
      <c r="A95" s="1779"/>
      <c r="B95" s="1779"/>
      <c r="C95" s="369" t="s">
        <v>1240</v>
      </c>
      <c r="D95" s="2481"/>
      <c r="E95" s="2223"/>
      <c r="F95" s="2402"/>
      <c r="G95" s="400"/>
      <c r="H95" s="1500"/>
      <c r="I95" s="651"/>
      <c r="J95" s="571"/>
      <c r="K95" s="1500"/>
      <c r="L95" s="214"/>
      <c r="M95" s="341"/>
      <c r="N95" s="334"/>
      <c r="O95" s="1624"/>
      <c r="P95" s="1624"/>
      <c r="AH95" s="1631">
        <v>0</v>
      </c>
    </row>
    <row s="1635" customFormat="1" customHeight="1" ht="45" hidden="1">
      <c r="A96" s="1779" t="s">
        <v>180</v>
      </c>
      <c r="B96" s="1779" t="s">
        <v>181</v>
      </c>
      <c r="C96" s="369"/>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59"/>
      <c r="I96" s="1738"/>
      <c r="J96" s="1772"/>
      <c r="K96" s="1777"/>
      <c r="L96" s="1859" t="s">
        <v>311</v>
      </c>
      <c r="M96" s="341"/>
      <c r="N96" s="334"/>
      <c r="O96" s="1624"/>
      <c r="P96" s="1624"/>
      <c r="AH96" s="1631">
        <v>0</v>
      </c>
    </row>
    <row s="1635" customFormat="1" customHeight="1" ht="18.75" hidden="1">
      <c r="A97" s="1779"/>
      <c r="B97" s="1779"/>
      <c r="C97" s="369" t="s">
        <v>1233</v>
      </c>
      <c r="D97" s="2481"/>
      <c r="E97" s="2223"/>
      <c r="F97" s="2402"/>
      <c r="G97" s="2446"/>
      <c r="H97" s="1500"/>
      <c r="I97" s="651" t="s">
        <v>1232</v>
      </c>
      <c r="J97" s="571"/>
      <c r="K97" s="1500"/>
      <c r="L97" s="214"/>
      <c r="M97" s="341"/>
      <c r="N97" s="334"/>
      <c r="O97" s="1624"/>
      <c r="P97" s="1624"/>
      <c r="AH97" s="1631">
        <v>0</v>
      </c>
    </row>
    <row s="1635" customFormat="1" customHeight="1" ht="0.75" hidden="1">
      <c r="A98" s="1779"/>
      <c r="B98" s="1779"/>
      <c r="C98" s="369" t="s">
        <v>1240</v>
      </c>
      <c r="D98" s="2481"/>
      <c r="E98" s="2223"/>
      <c r="F98" s="2402"/>
      <c r="G98" s="400"/>
      <c r="H98" s="1500"/>
      <c r="I98" s="651"/>
      <c r="J98" s="571"/>
      <c r="K98" s="1500"/>
      <c r="L98" s="214"/>
      <c r="M98" s="341"/>
      <c r="N98" s="334"/>
      <c r="O98" s="1624"/>
      <c r="P98" s="1624"/>
      <c r="AH98" s="1631">
        <v>0</v>
      </c>
    </row>
    <row s="1635" customFormat="1" customHeight="1" ht="18.75" hidden="1">
      <c r="A99" s="1779" t="s">
        <v>186</v>
      </c>
      <c r="B99" s="1779" t="s">
        <v>187</v>
      </c>
      <c r="C99" s="369"/>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59"/>
      <c r="I99" s="1738"/>
      <c r="J99" s="1772"/>
      <c r="K99" s="1777"/>
      <c r="L99" s="1859" t="s">
        <v>311</v>
      </c>
      <c r="M99" s="341"/>
      <c r="N99" s="334"/>
      <c r="O99" s="1624"/>
      <c r="P99" s="1624"/>
      <c r="AH99" s="1631">
        <v>0</v>
      </c>
    </row>
    <row s="1635" customFormat="1" customHeight="1" ht="18.75" hidden="1">
      <c r="A100" s="1779"/>
      <c r="B100" s="1779"/>
      <c r="C100" s="369" t="s">
        <v>1233</v>
      </c>
      <c r="D100" s="2481"/>
      <c r="E100" s="2223"/>
      <c r="F100" s="2402"/>
      <c r="G100" s="2446"/>
      <c r="H100" s="1500"/>
      <c r="I100" s="651" t="s">
        <v>1232</v>
      </c>
      <c r="J100" s="571"/>
      <c r="K100" s="1500"/>
      <c r="L100" s="214"/>
      <c r="M100" s="341"/>
      <c r="N100" s="334"/>
      <c r="O100" s="1624"/>
      <c r="P100" s="1624"/>
      <c r="AH100" s="1631">
        <v>0</v>
      </c>
    </row>
    <row s="1635" customFormat="1" customHeight="1" ht="0.75" hidden="1">
      <c r="A101" s="1779"/>
      <c r="B101" s="1779"/>
      <c r="C101" s="369" t="s">
        <v>1240</v>
      </c>
      <c r="D101" s="2481"/>
      <c r="E101" s="2223"/>
      <c r="F101" s="2402"/>
      <c r="G101" s="400"/>
      <c r="H101" s="1500"/>
      <c r="I101" s="651"/>
      <c r="J101" s="571"/>
      <c r="K101" s="1500"/>
      <c r="L101" s="214"/>
      <c r="M101" s="341"/>
      <c r="N101" s="334"/>
      <c r="O101" s="1624"/>
      <c r="P101" s="1624"/>
      <c r="AH101" s="1631">
        <v>0</v>
      </c>
    </row>
    <row s="1635" customFormat="1" customHeight="1" ht="18.75" hidden="1">
      <c r="A102" s="1779" t="s">
        <v>192</v>
      </c>
      <c r="B102" s="1779" t="s">
        <v>193</v>
      </c>
      <c r="C102" s="369"/>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59"/>
      <c r="I102" s="1738"/>
      <c r="J102" s="1772"/>
      <c r="K102" s="1777"/>
      <c r="L102" s="1859" t="s">
        <v>311</v>
      </c>
      <c r="M102" s="341"/>
      <c r="N102" s="334"/>
      <c r="O102" s="1624"/>
      <c r="P102" s="1624"/>
      <c r="AH102" s="1631">
        <v>0</v>
      </c>
    </row>
    <row s="1635" customFormat="1" customHeight="1" ht="18.75" hidden="1">
      <c r="A103" s="1779"/>
      <c r="B103" s="1779"/>
      <c r="C103" s="369" t="s">
        <v>1233</v>
      </c>
      <c r="D103" s="2481"/>
      <c r="E103" s="2223"/>
      <c r="F103" s="2402"/>
      <c r="G103" s="2446"/>
      <c r="H103" s="1500"/>
      <c r="I103" s="651" t="s">
        <v>1232</v>
      </c>
      <c r="J103" s="571"/>
      <c r="K103" s="1500"/>
      <c r="L103" s="214"/>
      <c r="M103" s="341"/>
      <c r="N103" s="334"/>
      <c r="O103" s="1624"/>
      <c r="P103" s="1624"/>
      <c r="AH103" s="1631">
        <v>0</v>
      </c>
    </row>
    <row s="1635" customFormat="1" customHeight="1" ht="0.75" hidden="1">
      <c r="A104" s="1779"/>
      <c r="B104" s="1779"/>
      <c r="C104" s="369" t="s">
        <v>1240</v>
      </c>
      <c r="D104" s="2481"/>
      <c r="E104" s="2223"/>
      <c r="F104" s="2402"/>
      <c r="G104" s="400"/>
      <c r="H104" s="1500"/>
      <c r="I104" s="651"/>
      <c r="J104" s="571"/>
      <c r="K104" s="1500"/>
      <c r="L104" s="214"/>
      <c r="M104" s="341"/>
      <c r="N104" s="334"/>
      <c r="O104" s="1624"/>
      <c r="P104" s="1624"/>
      <c r="AH104" s="1631">
        <v>0</v>
      </c>
    </row>
    <row s="1635" customFormat="1" customHeight="1" ht="18.75" hidden="1">
      <c r="A105" s="1779" t="s">
        <v>198</v>
      </c>
      <c r="B105" s="1779" t="s">
        <v>199</v>
      </c>
      <c r="C105" s="369"/>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59"/>
      <c r="I105" s="1738"/>
      <c r="J105" s="1772"/>
      <c r="K105" s="1777"/>
      <c r="L105" s="1859" t="s">
        <v>311</v>
      </c>
      <c r="M105" s="341"/>
      <c r="N105" s="334"/>
      <c r="O105" s="1624"/>
      <c r="P105" s="1624"/>
      <c r="AH105" s="1631">
        <v>0</v>
      </c>
    </row>
    <row s="1635" customFormat="1" customHeight="1" ht="18.75" hidden="1">
      <c r="A106" s="1779"/>
      <c r="B106" s="1779"/>
      <c r="C106" s="369" t="s">
        <v>1233</v>
      </c>
      <c r="D106" s="2481"/>
      <c r="E106" s="2223"/>
      <c r="F106" s="2402"/>
      <c r="G106" s="2446"/>
      <c r="H106" s="1500"/>
      <c r="I106" s="651" t="s">
        <v>1232</v>
      </c>
      <c r="J106" s="571"/>
      <c r="K106" s="1500"/>
      <c r="L106" s="214"/>
      <c r="M106" s="341"/>
      <c r="N106" s="334"/>
      <c r="O106" s="1624"/>
      <c r="P106" s="1624"/>
      <c r="AH106" s="1631">
        <v>0</v>
      </c>
    </row>
    <row s="1635" customFormat="1" customHeight="1" ht="0.75" hidden="1">
      <c r="A107" s="1779"/>
      <c r="B107" s="1779"/>
      <c r="C107" s="369" t="s">
        <v>1240</v>
      </c>
      <c r="D107" s="2481"/>
      <c r="E107" s="2223"/>
      <c r="F107" s="2402"/>
      <c r="G107" s="400"/>
      <c r="H107" s="1500"/>
      <c r="I107" s="651"/>
      <c r="J107" s="571"/>
      <c r="K107" s="1500"/>
      <c r="L107" s="214"/>
      <c r="M107" s="341"/>
      <c r="N107" s="334"/>
      <c r="O107" s="1624"/>
      <c r="P107" s="1624"/>
      <c r="AH107" s="1631">
        <v>0</v>
      </c>
    </row>
    <row s="1635" customFormat="1" customHeight="1" ht="18.75" hidden="1">
      <c r="A108" s="1779" t="s">
        <v>204</v>
      </c>
      <c r="B108" s="1779" t="s">
        <v>205</v>
      </c>
      <c r="C108" s="369"/>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59"/>
      <c r="I108" s="1738"/>
      <c r="J108" s="1772"/>
      <c r="K108" s="1777"/>
      <c r="L108" s="1859" t="s">
        <v>311</v>
      </c>
      <c r="M108" s="341"/>
      <c r="N108" s="334"/>
      <c r="O108" s="1624"/>
      <c r="P108" s="1624"/>
      <c r="AH108" s="1631">
        <v>0</v>
      </c>
    </row>
    <row s="1635" customFormat="1" customHeight="1" ht="18.75" hidden="1">
      <c r="A109" s="1779"/>
      <c r="B109" s="1779"/>
      <c r="C109" s="369" t="s">
        <v>1233</v>
      </c>
      <c r="D109" s="2481"/>
      <c r="E109" s="2223"/>
      <c r="F109" s="2402"/>
      <c r="G109" s="2446"/>
      <c r="H109" s="1500"/>
      <c r="I109" s="651" t="s">
        <v>1232</v>
      </c>
      <c r="J109" s="571"/>
      <c r="K109" s="1500"/>
      <c r="L109" s="214"/>
      <c r="M109" s="341"/>
      <c r="N109" s="334"/>
      <c r="O109" s="1624"/>
      <c r="P109" s="1624"/>
      <c r="AH109" s="1631">
        <v>0</v>
      </c>
    </row>
    <row s="1635" customFormat="1" customHeight="1" ht="0.75" hidden="1">
      <c r="A110" s="1779"/>
      <c r="B110" s="1779"/>
      <c r="C110" s="369" t="s">
        <v>1240</v>
      </c>
      <c r="D110" s="2481"/>
      <c r="E110" s="2223"/>
      <c r="F110" s="2402"/>
      <c r="G110" s="400"/>
      <c r="H110" s="1500"/>
      <c r="I110" s="651"/>
      <c r="J110" s="571"/>
      <c r="K110" s="1500"/>
      <c r="L110" s="214"/>
      <c r="M110" s="341"/>
      <c r="N110" s="334"/>
      <c r="O110" s="1624"/>
      <c r="P110" s="1624"/>
      <c r="AH110" s="1631">
        <v>0</v>
      </c>
    </row>
    <row s="1635" customFormat="1" customHeight="1" ht="18.75" hidden="1">
      <c r="A111" s="1779" t="s">
        <v>210</v>
      </c>
      <c r="B111" s="1779" t="s">
        <v>211</v>
      </c>
      <c r="C111" s="369"/>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86"/>
      <c r="I111" s="1738"/>
      <c r="J111" s="1772"/>
      <c r="K111" s="1777"/>
      <c r="L111" s="1986" t="s">
        <v>311</v>
      </c>
      <c r="M111" s="341"/>
      <c r="N111" s="334"/>
      <c r="O111" s="1624"/>
      <c r="P111" s="1624"/>
      <c r="AH111" s="1631">
        <v>0</v>
      </c>
    </row>
    <row s="1635" customFormat="1" customHeight="1" ht="18.75" hidden="1">
      <c r="A112" s="1779"/>
      <c r="B112" s="1779"/>
      <c r="C112" s="369" t="s">
        <v>1233</v>
      </c>
      <c r="D112" s="2481"/>
      <c r="E112" s="2223"/>
      <c r="F112" s="2402"/>
      <c r="G112" s="2446"/>
      <c r="H112" s="1500"/>
      <c r="I112" s="651" t="s">
        <v>1232</v>
      </c>
      <c r="J112" s="571"/>
      <c r="K112" s="1500"/>
      <c r="L112" s="214"/>
      <c r="M112" s="341"/>
      <c r="N112" s="334"/>
      <c r="O112" s="1624"/>
      <c r="P112" s="1624"/>
      <c r="AH112" s="1631">
        <v>0</v>
      </c>
    </row>
    <row s="1635" customFormat="1" customHeight="1" ht="0.75" hidden="1">
      <c r="A113" s="1779"/>
      <c r="B113" s="1779"/>
      <c r="C113" s="369" t="s">
        <v>1240</v>
      </c>
      <c r="D113" s="2481"/>
      <c r="E113" s="2223"/>
      <c r="F113" s="2402"/>
      <c r="G113" s="400"/>
      <c r="H113" s="1500"/>
      <c r="I113" s="651"/>
      <c r="J113" s="571"/>
      <c r="K113" s="1500"/>
      <c r="L113" s="214"/>
      <c r="M113" s="341"/>
      <c r="N113" s="334"/>
      <c r="O113" s="1624"/>
      <c r="P113" s="1624"/>
      <c r="AH113" s="1631">
        <v>0</v>
      </c>
    </row>
    <row s="1635" customFormat="1" customHeight="1" ht="18.75" hidden="1">
      <c r="A114" s="1779" t="s">
        <v>230</v>
      </c>
      <c r="B114" s="1779" t="s">
        <v>231</v>
      </c>
      <c r="C114" s="369"/>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59"/>
      <c r="I114" s="1738"/>
      <c r="J114" s="1772"/>
      <c r="K114" s="1777"/>
      <c r="L114" s="1859" t="s">
        <v>311</v>
      </c>
      <c r="M114" s="341"/>
      <c r="N114" s="334"/>
      <c r="O114" s="1624"/>
      <c r="P114" s="1624"/>
      <c r="AH114" s="1631">
        <v>0</v>
      </c>
    </row>
    <row s="1635" customFormat="1" customHeight="1" ht="18.75" hidden="1">
      <c r="A115" s="1779"/>
      <c r="B115" s="1779"/>
      <c r="C115" s="369" t="s">
        <v>1233</v>
      </c>
      <c r="D115" s="2481"/>
      <c r="E115" s="2223"/>
      <c r="F115" s="2402"/>
      <c r="G115" s="2446"/>
      <c r="H115" s="1500"/>
      <c r="I115" s="651" t="s">
        <v>1232</v>
      </c>
      <c r="J115" s="571"/>
      <c r="K115" s="1500"/>
      <c r="L115" s="214"/>
      <c r="M115" s="341"/>
      <c r="N115" s="334"/>
      <c r="O115" s="1624"/>
      <c r="P115" s="1624"/>
      <c r="AH115" s="1631">
        <v>0</v>
      </c>
    </row>
    <row s="1635" customFormat="1" customHeight="1" ht="0.75" hidden="1">
      <c r="A116" s="1779"/>
      <c r="B116" s="1779"/>
      <c r="C116" s="369" t="s">
        <v>1240</v>
      </c>
      <c r="D116" s="2481"/>
      <c r="E116" s="2223"/>
      <c r="F116" s="2402"/>
      <c r="G116" s="400"/>
      <c r="H116" s="1500"/>
      <c r="I116" s="651"/>
      <c r="J116" s="571"/>
      <c r="K116" s="1500"/>
      <c r="L116" s="214"/>
      <c r="M116" s="341"/>
      <c r="N116" s="334"/>
      <c r="O116" s="1624"/>
      <c r="P116" s="1624"/>
      <c r="AH116" s="1631">
        <v>0</v>
      </c>
    </row>
    <row s="1635" customFormat="1" customHeight="1" ht="18.75" hidden="1">
      <c r="A117" s="1779" t="s">
        <v>235</v>
      </c>
      <c r="B117" s="1779" t="s">
        <v>236</v>
      </c>
      <c r="C117" s="369"/>
      <c r="D117" s="2481"/>
      <c r="E117" s="2223"/>
      <c r="F117" s="2402" t="str">
        <f>INDEX(PT_DIFFERENTIATION_VTAR,MATCH(A117,PT_DIFFERENTIATION_VTAR_ID,0))</f>
        <v>Тариф на техническую воду</v>
      </c>
      <c r="G117" s="2446" t="str">
        <f>INDEX(PT_DIFFERENTIATION_NTAR,MATCH(B117,PT_DIFFERENTIATION_NTAR_ID,0))</f>
        <v/>
      </c>
      <c r="H117" s="1859"/>
      <c r="I117" s="1738"/>
      <c r="J117" s="1772"/>
      <c r="K117" s="1777"/>
      <c r="L117" s="1859" t="s">
        <v>311</v>
      </c>
      <c r="M117" s="341"/>
      <c r="N117" s="334"/>
      <c r="O117" s="1624"/>
      <c r="P117" s="1624"/>
      <c r="AH117" s="1631">
        <v>0</v>
      </c>
    </row>
    <row s="1635" customFormat="1" customHeight="1" ht="18.75" hidden="1">
      <c r="A118" s="1779"/>
      <c r="B118" s="1779"/>
      <c r="C118" s="369" t="s">
        <v>1233</v>
      </c>
      <c r="D118" s="2481"/>
      <c r="E118" s="2223"/>
      <c r="F118" s="2402"/>
      <c r="G118" s="2446"/>
      <c r="H118" s="1500"/>
      <c r="I118" s="651" t="s">
        <v>1232</v>
      </c>
      <c r="J118" s="571"/>
      <c r="K118" s="1500"/>
      <c r="L118" s="214"/>
      <c r="M118" s="341"/>
      <c r="N118" s="334"/>
      <c r="O118" s="1624"/>
      <c r="P118" s="1624"/>
      <c r="AH118" s="1631">
        <v>0</v>
      </c>
    </row>
    <row s="1635" customFormat="1" customHeight="1" ht="0.75" hidden="1">
      <c r="A119" s="1779"/>
      <c r="B119" s="1779"/>
      <c r="C119" s="369" t="s">
        <v>1240</v>
      </c>
      <c r="D119" s="2481"/>
      <c r="E119" s="2223"/>
      <c r="F119" s="2402"/>
      <c r="G119" s="400"/>
      <c r="H119" s="1500"/>
      <c r="I119" s="651"/>
      <c r="J119" s="571"/>
      <c r="K119" s="1500"/>
      <c r="L119" s="214"/>
      <c r="M119" s="341"/>
      <c r="N119" s="334"/>
      <c r="O119" s="1624"/>
      <c r="P119" s="1624"/>
      <c r="AH119" s="1631">
        <v>0</v>
      </c>
    </row>
    <row s="1635" customFormat="1" customHeight="1" ht="18.75" hidden="1">
      <c r="A120" s="1779" t="s">
        <v>240</v>
      </c>
      <c r="B120" s="1779" t="s">
        <v>241</v>
      </c>
      <c r="C120" s="369"/>
      <c r="D120" s="2481"/>
      <c r="E120" s="2223"/>
      <c r="F120" s="2402" t="str">
        <f>INDEX(PT_DIFFERENTIATION_VTAR,MATCH(A120,PT_DIFFERENTIATION_VTAR_ID,0))</f>
        <v>Тариф на транспортировку воды</v>
      </c>
      <c r="G120" s="2446" t="str">
        <f>INDEX(PT_DIFFERENTIATION_NTAR,MATCH(B120,PT_DIFFERENTIATION_NTAR_ID,0))</f>
        <v/>
      </c>
      <c r="H120" s="1859"/>
      <c r="I120" s="1738"/>
      <c r="J120" s="1772"/>
      <c r="K120" s="1777"/>
      <c r="L120" s="1859" t="s">
        <v>311</v>
      </c>
      <c r="M120" s="341"/>
      <c r="N120" s="334"/>
      <c r="O120" s="1624"/>
      <c r="P120" s="1624"/>
      <c r="AH120" s="1631">
        <v>0</v>
      </c>
    </row>
    <row s="1635" customFormat="1" customHeight="1" ht="18.75" hidden="1">
      <c r="A121" s="1779"/>
      <c r="B121" s="1779"/>
      <c r="C121" s="369" t="s">
        <v>1233</v>
      </c>
      <c r="D121" s="2481"/>
      <c r="E121" s="2223"/>
      <c r="F121" s="2402"/>
      <c r="G121" s="2446"/>
      <c r="H121" s="1500"/>
      <c r="I121" s="651" t="s">
        <v>1232</v>
      </c>
      <c r="J121" s="571"/>
      <c r="K121" s="1500"/>
      <c r="L121" s="214"/>
      <c r="M121" s="341"/>
      <c r="N121" s="334"/>
      <c r="O121" s="1624"/>
      <c r="P121" s="1624"/>
      <c r="AH121" s="1631">
        <v>0</v>
      </c>
    </row>
    <row s="1635" customFormat="1" customHeight="1" ht="0.75" hidden="1">
      <c r="A122" s="1779"/>
      <c r="B122" s="1779"/>
      <c r="C122" s="369" t="s">
        <v>1240</v>
      </c>
      <c r="D122" s="2481"/>
      <c r="E122" s="2223"/>
      <c r="F122" s="2402"/>
      <c r="G122" s="400"/>
      <c r="H122" s="1500"/>
      <c r="I122" s="651"/>
      <c r="J122" s="571"/>
      <c r="K122" s="1500"/>
      <c r="L122" s="214"/>
      <c r="M122" s="341"/>
      <c r="N122" s="334"/>
      <c r="O122" s="1624"/>
      <c r="P122" s="1624"/>
      <c r="AH122" s="1631">
        <v>0</v>
      </c>
    </row>
    <row s="1635" customFormat="1" customHeight="1" ht="18.75" hidden="1">
      <c r="A123" s="1779" t="s">
        <v>245</v>
      </c>
      <c r="B123" s="1779" t="s">
        <v>246</v>
      </c>
      <c r="C123" s="369"/>
      <c r="D123" s="2481"/>
      <c r="E123" s="2223"/>
      <c r="F123" s="2402" t="str">
        <f>INDEX(PT_DIFFERENTIATION_VTAR,MATCH(A123,PT_DIFFERENTIATION_VTAR_ID,0))</f>
        <v>Тариф на подвоз воды</v>
      </c>
      <c r="G123" s="2446" t="str">
        <f>INDEX(PT_DIFFERENTIATION_NTAR,MATCH(B123,PT_DIFFERENTIATION_NTAR_ID,0))</f>
        <v/>
      </c>
      <c r="H123" s="1859"/>
      <c r="I123" s="1738"/>
      <c r="J123" s="1772"/>
      <c r="K123" s="1777"/>
      <c r="L123" s="1859" t="s">
        <v>311</v>
      </c>
      <c r="M123" s="341"/>
      <c r="N123" s="334"/>
      <c r="O123" s="1624"/>
      <c r="P123" s="1624"/>
      <c r="AH123" s="1631">
        <v>0</v>
      </c>
    </row>
    <row s="1635" customFormat="1" customHeight="1" ht="18.75" hidden="1">
      <c r="A124" s="1779"/>
      <c r="B124" s="1779"/>
      <c r="C124" s="369" t="s">
        <v>1233</v>
      </c>
      <c r="D124" s="2481"/>
      <c r="E124" s="2223"/>
      <c r="F124" s="2402"/>
      <c r="G124" s="2446"/>
      <c r="H124" s="1500"/>
      <c r="I124" s="651" t="s">
        <v>1232</v>
      </c>
      <c r="J124" s="571"/>
      <c r="K124" s="1500"/>
      <c r="L124" s="214"/>
      <c r="M124" s="341"/>
      <c r="N124" s="334"/>
      <c r="O124" s="1624"/>
      <c r="P124" s="1624"/>
      <c r="AH124" s="1631">
        <v>0</v>
      </c>
    </row>
    <row s="1635" customFormat="1" customHeight="1" ht="0.75" hidden="1">
      <c r="A125" s="1779"/>
      <c r="B125" s="1779"/>
      <c r="C125" s="369" t="s">
        <v>1240</v>
      </c>
      <c r="D125" s="2481"/>
      <c r="E125" s="2223"/>
      <c r="F125" s="2402"/>
      <c r="G125" s="400"/>
      <c r="H125" s="1500"/>
      <c r="I125" s="651"/>
      <c r="J125" s="571"/>
      <c r="K125" s="1500"/>
      <c r="L125" s="214"/>
      <c r="M125" s="341"/>
      <c r="N125" s="334"/>
      <c r="O125" s="1624"/>
      <c r="P125" s="1624"/>
      <c r="AH125" s="1631">
        <v>0</v>
      </c>
    </row>
    <row s="1635" customFormat="1" customHeight="1" ht="18.75" hidden="1">
      <c r="A126" s="1779" t="s">
        <v>250</v>
      </c>
      <c r="B126" s="1779" t="s">
        <v>251</v>
      </c>
      <c r="C126" s="369"/>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59"/>
      <c r="I126" s="1738"/>
      <c r="J126" s="1772"/>
      <c r="K126" s="1777"/>
      <c r="L126" s="1859" t="s">
        <v>311</v>
      </c>
      <c r="M126" s="341"/>
      <c r="N126" s="334"/>
      <c r="O126" s="1624"/>
      <c r="P126" s="1624"/>
      <c r="AH126" s="1631">
        <v>0</v>
      </c>
    </row>
    <row s="1635" customFormat="1" customHeight="1" ht="18.75" hidden="1">
      <c r="A127" s="1779"/>
      <c r="B127" s="1779"/>
      <c r="C127" s="369" t="s">
        <v>1233</v>
      </c>
      <c r="D127" s="2481"/>
      <c r="E127" s="2223"/>
      <c r="F127" s="2402"/>
      <c r="G127" s="2446"/>
      <c r="H127" s="1500"/>
      <c r="I127" s="651" t="s">
        <v>1232</v>
      </c>
      <c r="J127" s="571"/>
      <c r="K127" s="1500"/>
      <c r="L127" s="214"/>
      <c r="M127" s="341"/>
      <c r="N127" s="334"/>
      <c r="O127" s="1624"/>
      <c r="P127" s="1624"/>
      <c r="AH127" s="1631">
        <v>0</v>
      </c>
    </row>
    <row s="1635" customFormat="1" customHeight="1" ht="0.75" hidden="1">
      <c r="A128" s="1779"/>
      <c r="B128" s="1779"/>
      <c r="C128" s="369" t="s">
        <v>1240</v>
      </c>
      <c r="D128" s="2481"/>
      <c r="E128" s="2223"/>
      <c r="F128" s="2402"/>
      <c r="G128" s="400"/>
      <c r="H128" s="1500"/>
      <c r="I128" s="651"/>
      <c r="J128" s="571"/>
      <c r="K128" s="1500"/>
      <c r="L128" s="214"/>
      <c r="M128" s="341"/>
      <c r="N128" s="334"/>
      <c r="O128" s="1624"/>
      <c r="P128" s="1624"/>
      <c r="AH128" s="1631">
        <v>0</v>
      </c>
    </row>
    <row s="1635" customFormat="1" customHeight="1" ht="18.75" hidden="1">
      <c r="A129" s="1779" t="s">
        <v>255</v>
      </c>
      <c r="B129" s="1779" t="s">
        <v>256</v>
      </c>
      <c r="C129" s="369"/>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59"/>
      <c r="I129" s="1738"/>
      <c r="J129" s="1772"/>
      <c r="K129" s="1777"/>
      <c r="L129" s="1859" t="s">
        <v>311</v>
      </c>
      <c r="M129" s="341"/>
      <c r="N129" s="334"/>
      <c r="O129" s="1624"/>
      <c r="P129" s="1624"/>
      <c r="AH129" s="1631">
        <v>0</v>
      </c>
    </row>
    <row s="1635" customFormat="1" customHeight="1" ht="18.75" hidden="1">
      <c r="A130" s="1779"/>
      <c r="B130" s="1779"/>
      <c r="C130" s="369" t="s">
        <v>1233</v>
      </c>
      <c r="D130" s="2481"/>
      <c r="E130" s="2223"/>
      <c r="F130" s="2402"/>
      <c r="G130" s="2446"/>
      <c r="H130" s="1500"/>
      <c r="I130" s="651" t="s">
        <v>1232</v>
      </c>
      <c r="J130" s="571"/>
      <c r="K130" s="1500"/>
      <c r="L130" s="214"/>
      <c r="M130" s="341"/>
      <c r="N130" s="334"/>
      <c r="O130" s="1624"/>
      <c r="P130" s="1624"/>
      <c r="AH130" s="1631">
        <v>0</v>
      </c>
    </row>
    <row s="1635" customFormat="1" customHeight="1" ht="0.75" hidden="1">
      <c r="A131" s="1779"/>
      <c r="B131" s="1779"/>
      <c r="C131" s="369" t="s">
        <v>1240</v>
      </c>
      <c r="D131" s="2481"/>
      <c r="E131" s="2223"/>
      <c r="F131" s="2402"/>
      <c r="G131" s="400"/>
      <c r="H131" s="1500"/>
      <c r="I131" s="651"/>
      <c r="J131" s="571"/>
      <c r="K131" s="1500"/>
      <c r="L131" s="214"/>
      <c r="M131" s="341"/>
      <c r="N131" s="334"/>
      <c r="O131" s="1624"/>
      <c r="P131" s="1624"/>
      <c r="AH131" s="1631">
        <v>0</v>
      </c>
    </row>
    <row s="1635" customFormat="1" customHeight="1" ht="18.75" hidden="1">
      <c r="A132" s="1779" t="s">
        <v>260</v>
      </c>
      <c r="B132" s="1779" t="s">
        <v>261</v>
      </c>
      <c r="C132" s="369"/>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59"/>
      <c r="I132" s="1738"/>
      <c r="J132" s="1772"/>
      <c r="K132" s="1777"/>
      <c r="L132" s="1859" t="s">
        <v>311</v>
      </c>
      <c r="M132" s="341"/>
      <c r="N132" s="334"/>
      <c r="O132" s="1624"/>
      <c r="P132" s="1624"/>
      <c r="AH132" s="1631">
        <v>0</v>
      </c>
    </row>
    <row s="1635" customFormat="1" customHeight="1" ht="18.75" hidden="1">
      <c r="A133" s="1779"/>
      <c r="B133" s="1779"/>
      <c r="C133" s="369" t="s">
        <v>1233</v>
      </c>
      <c r="D133" s="2481"/>
      <c r="E133" s="2223"/>
      <c r="F133" s="2402"/>
      <c r="G133" s="2446"/>
      <c r="H133" s="1500"/>
      <c r="I133" s="651" t="s">
        <v>1232</v>
      </c>
      <c r="J133" s="571"/>
      <c r="K133" s="1500"/>
      <c r="L133" s="214"/>
      <c r="M133" s="341"/>
      <c r="N133" s="334"/>
      <c r="O133" s="1624"/>
      <c r="P133" s="1624"/>
      <c r="AH133" s="1631">
        <v>0</v>
      </c>
    </row>
    <row s="1635" customFormat="1" customHeight="1" ht="0.75" hidden="1">
      <c r="A134" s="1779"/>
      <c r="B134" s="1779"/>
      <c r="C134" s="369" t="s">
        <v>1240</v>
      </c>
      <c r="D134" s="2481"/>
      <c r="E134" s="2223"/>
      <c r="F134" s="2402"/>
      <c r="G134" s="400"/>
      <c r="H134" s="1500"/>
      <c r="I134" s="651"/>
      <c r="J134" s="571"/>
      <c r="K134" s="1500"/>
      <c r="L134" s="214"/>
      <c r="M134" s="341"/>
      <c r="N134" s="334"/>
      <c r="O134" s="1624"/>
      <c r="P134" s="1624"/>
      <c r="AH134" s="1631">
        <v>0</v>
      </c>
    </row>
    <row s="1635" customFormat="1" customHeight="1" ht="18.75" hidden="1">
      <c r="A135" s="1779" t="s">
        <v>265</v>
      </c>
      <c r="B135" s="1779" t="s">
        <v>266</v>
      </c>
      <c r="C135" s="369"/>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59"/>
      <c r="I135" s="1738"/>
      <c r="J135" s="1772"/>
      <c r="K135" s="1777"/>
      <c r="L135" s="1859" t="s">
        <v>311</v>
      </c>
      <c r="M135" s="341"/>
      <c r="N135" s="334"/>
      <c r="O135" s="1624"/>
      <c r="P135" s="1624"/>
      <c r="AH135" s="1631">
        <v>0</v>
      </c>
    </row>
    <row s="1635" customFormat="1" customHeight="1" ht="18.75" hidden="1">
      <c r="A136" s="1779"/>
      <c r="B136" s="1779"/>
      <c r="C136" s="369" t="s">
        <v>1233</v>
      </c>
      <c r="D136" s="2481"/>
      <c r="E136" s="2223"/>
      <c r="F136" s="2402"/>
      <c r="G136" s="2446"/>
      <c r="H136" s="1500"/>
      <c r="I136" s="651" t="s">
        <v>1232</v>
      </c>
      <c r="J136" s="571"/>
      <c r="K136" s="1500"/>
      <c r="L136" s="214"/>
      <c r="M136" s="341"/>
      <c r="N136" s="334"/>
      <c r="O136" s="1624"/>
      <c r="P136" s="1624"/>
      <c r="AH136" s="1631">
        <v>0</v>
      </c>
    </row>
    <row s="1635" customFormat="1" customHeight="1" ht="0.75" hidden="1">
      <c r="A137" s="1779"/>
      <c r="B137" s="1779"/>
      <c r="C137" s="369" t="s">
        <v>1240</v>
      </c>
      <c r="D137" s="2481"/>
      <c r="E137" s="2223"/>
      <c r="F137" s="2402"/>
      <c r="G137" s="400"/>
      <c r="H137" s="1500"/>
      <c r="I137" s="651"/>
      <c r="J137" s="571"/>
      <c r="K137" s="1500"/>
      <c r="L137" s="214"/>
      <c r="M137" s="341"/>
      <c r="N137" s="334"/>
      <c r="O137" s="1624"/>
      <c r="P137" s="1624"/>
      <c r="AH137" s="1631">
        <v>0</v>
      </c>
    </row>
    <row s="1635" customFormat="1" customHeight="1" ht="18.75" hidden="1">
      <c r="A138" s="1779" t="s">
        <v>270</v>
      </c>
      <c r="B138" s="1779" t="s">
        <v>271</v>
      </c>
      <c r="C138" s="369"/>
      <c r="D138" s="2481"/>
      <c r="E138" s="2223"/>
      <c r="F138" s="2402" t="str">
        <f>INDEX(PT_DIFFERENTIATION_VTAR,MATCH(A138,PT_DIFFERENTIATION_VTAR_ID,0))</f>
        <v>Тариф на водоотведение</v>
      </c>
      <c r="G138" s="2446" t="str">
        <f>INDEX(PT_DIFFERENTIATION_NTAR,MATCH(B138,PT_DIFFERENTIATION_NTAR_ID,0))</f>
        <v/>
      </c>
      <c r="H138" s="1859"/>
      <c r="I138" s="1738"/>
      <c r="J138" s="1772"/>
      <c r="K138" s="1777"/>
      <c r="L138" s="1859" t="s">
        <v>311</v>
      </c>
      <c r="M138" s="341"/>
      <c r="N138" s="334"/>
      <c r="O138" s="1624"/>
      <c r="P138" s="1624"/>
      <c r="AH138" s="1631">
        <v>0</v>
      </c>
    </row>
    <row s="1635" customFormat="1" customHeight="1" ht="18.75" hidden="1">
      <c r="A139" s="1779"/>
      <c r="B139" s="1779"/>
      <c r="C139" s="369" t="s">
        <v>1233</v>
      </c>
      <c r="D139" s="2481"/>
      <c r="E139" s="2223"/>
      <c r="F139" s="2402"/>
      <c r="G139" s="2446"/>
      <c r="H139" s="1500"/>
      <c r="I139" s="651" t="s">
        <v>1232</v>
      </c>
      <c r="J139" s="571"/>
      <c r="K139" s="1500"/>
      <c r="L139" s="214"/>
      <c r="M139" s="341"/>
      <c r="N139" s="334"/>
      <c r="O139" s="1624"/>
      <c r="P139" s="1624"/>
      <c r="AH139" s="1631">
        <v>0</v>
      </c>
    </row>
    <row s="1635" customFormat="1" customHeight="1" ht="0.75" hidden="1">
      <c r="A140" s="1779"/>
      <c r="B140" s="1779"/>
      <c r="C140" s="369" t="s">
        <v>1240</v>
      </c>
      <c r="D140" s="2481"/>
      <c r="E140" s="2223"/>
      <c r="F140" s="2402"/>
      <c r="G140" s="400"/>
      <c r="H140" s="1500"/>
      <c r="I140" s="651"/>
      <c r="J140" s="571"/>
      <c r="K140" s="1500"/>
      <c r="L140" s="214"/>
      <c r="M140" s="341"/>
      <c r="N140" s="334"/>
      <c r="O140" s="1624"/>
      <c r="P140" s="1624"/>
      <c r="AH140" s="1631">
        <v>0</v>
      </c>
    </row>
    <row s="1635" customFormat="1" customHeight="1" ht="18.75" hidden="1">
      <c r="A141" s="1779" t="s">
        <v>275</v>
      </c>
      <c r="B141" s="1779" t="s">
        <v>276</v>
      </c>
      <c r="C141" s="369"/>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59"/>
      <c r="I141" s="1738"/>
      <c r="J141" s="1772"/>
      <c r="K141" s="1777"/>
      <c r="L141" s="1859" t="s">
        <v>311</v>
      </c>
      <c r="M141" s="341"/>
      <c r="N141" s="334"/>
      <c r="O141" s="1624"/>
      <c r="P141" s="1624"/>
      <c r="AH141" s="1631">
        <v>0</v>
      </c>
    </row>
    <row s="1635" customFormat="1" customHeight="1" ht="18.75" hidden="1">
      <c r="A142" s="1779"/>
      <c r="B142" s="1779"/>
      <c r="C142" s="369" t="s">
        <v>1233</v>
      </c>
      <c r="D142" s="2481"/>
      <c r="E142" s="2223"/>
      <c r="F142" s="2402"/>
      <c r="G142" s="2446"/>
      <c r="H142" s="1500"/>
      <c r="I142" s="651" t="s">
        <v>1232</v>
      </c>
      <c r="J142" s="571"/>
      <c r="K142" s="1500"/>
      <c r="L142" s="214"/>
      <c r="M142" s="341"/>
      <c r="N142" s="334"/>
      <c r="O142" s="1624"/>
      <c r="P142" s="1624"/>
      <c r="AH142" s="1631">
        <v>0</v>
      </c>
    </row>
    <row s="1635" customFormat="1" customHeight="1" ht="0.75" hidden="1">
      <c r="A143" s="1779"/>
      <c r="B143" s="1779"/>
      <c r="C143" s="369" t="s">
        <v>1240</v>
      </c>
      <c r="D143" s="2481"/>
      <c r="E143" s="2223"/>
      <c r="F143" s="2402"/>
      <c r="G143" s="400"/>
      <c r="H143" s="1500"/>
      <c r="I143" s="651"/>
      <c r="J143" s="571"/>
      <c r="K143" s="1500"/>
      <c r="L143" s="214"/>
      <c r="M143" s="341"/>
      <c r="N143" s="334"/>
      <c r="O143" s="1624"/>
      <c r="P143" s="1624"/>
      <c r="AH143" s="1631">
        <v>0</v>
      </c>
    </row>
    <row s="1635" customFormat="1" customHeight="1" ht="18.75" hidden="1">
      <c r="A144" s="1779" t="s">
        <v>280</v>
      </c>
      <c r="B144" s="1779" t="s">
        <v>281</v>
      </c>
      <c r="C144" s="369"/>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59"/>
      <c r="I144" s="1738"/>
      <c r="J144" s="1772"/>
      <c r="K144" s="1777"/>
      <c r="L144" s="1859" t="s">
        <v>311</v>
      </c>
      <c r="M144" s="341"/>
      <c r="N144" s="334"/>
      <c r="O144" s="1624"/>
      <c r="P144" s="1624"/>
      <c r="AH144" s="1631">
        <v>0</v>
      </c>
    </row>
    <row s="1635" customFormat="1" customHeight="1" ht="18.75" hidden="1">
      <c r="A145" s="1779"/>
      <c r="B145" s="1779"/>
      <c r="C145" s="369" t="s">
        <v>1233</v>
      </c>
      <c r="D145" s="2481"/>
      <c r="E145" s="2223"/>
      <c r="F145" s="2402"/>
      <c r="G145" s="2446"/>
      <c r="H145" s="1500"/>
      <c r="I145" s="651" t="s">
        <v>1232</v>
      </c>
      <c r="J145" s="571"/>
      <c r="K145" s="1500"/>
      <c r="L145" s="214"/>
      <c r="M145" s="341"/>
      <c r="N145" s="334"/>
      <c r="O145" s="1624"/>
      <c r="P145" s="1624"/>
      <c r="AH145" s="1631">
        <v>0</v>
      </c>
    </row>
    <row s="1635" customFormat="1" customHeight="1" ht="1.05">
      <c r="A146" s="1779"/>
      <c r="B146" s="1779"/>
      <c r="C146" s="369" t="s">
        <v>1240</v>
      </c>
      <c r="D146" s="2481"/>
      <c r="E146" s="2223"/>
      <c r="F146" s="2402"/>
      <c r="G146" s="400"/>
      <c r="H146" s="1500"/>
      <c r="I146" s="651"/>
      <c r="J146" s="571"/>
      <c r="K146" s="1500"/>
      <c r="L146" s="214"/>
      <c r="M146" s="341"/>
      <c r="N146" s="334"/>
      <c r="O146" s="1624"/>
      <c r="P146" s="1624"/>
      <c r="AH146" s="1631">
        <v>1</v>
      </c>
    </row>
    <row customHeight="1" ht="19.95">
      <c r="A147" s="1779"/>
      <c r="B147" s="1779"/>
      <c r="D147" s="376"/>
      <c r="E147" s="147" t="s">
        <v>92</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9"/>
      <c r="H147" s="2479"/>
      <c r="I147" s="2479"/>
      <c r="J147" s="2479"/>
      <c r="K147" s="2479"/>
      <c r="L147" s="2479"/>
      <c r="M147" s="297"/>
      <c r="N147" s="334"/>
      <c r="AH147" s="374">
        <v>19</v>
      </c>
    </row>
    <row s="1635" customFormat="1" customHeight="1" ht="60.75" hidden="1">
      <c r="A148" s="1779" t="s">
        <v>162</v>
      </c>
      <c r="B148" s="1779" t="s">
        <v>163</v>
      </c>
      <c r="C148" s="369"/>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59"/>
      <c r="I148" s="1738"/>
      <c r="J148" s="1772"/>
      <c r="K148" s="1777"/>
      <c r="L148" s="1859" t="s">
        <v>311</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1233</v>
      </c>
      <c r="D149" s="2481"/>
      <c r="E149" s="2223"/>
      <c r="F149" s="2402"/>
      <c r="G149" s="2446"/>
      <c r="H149" s="1500"/>
      <c r="I149" s="651" t="s">
        <v>1232</v>
      </c>
      <c r="J149" s="571"/>
      <c r="K149" s="1500"/>
      <c r="L149" s="214"/>
      <c r="M149" s="2189"/>
      <c r="N149" s="334"/>
      <c r="O149" s="1624"/>
      <c r="P149" s="1624"/>
      <c r="AH149" s="1631">
        <v>0</v>
      </c>
    </row>
    <row s="1635" customFormat="1" customHeight="1" ht="0.75" hidden="1">
      <c r="A150" s="1779"/>
      <c r="B150" s="1779"/>
      <c r="C150" s="369" t="s">
        <v>1240</v>
      </c>
      <c r="D150" s="2481"/>
      <c r="E150" s="2223"/>
      <c r="F150" s="2402"/>
      <c r="G150" s="400"/>
      <c r="H150" s="1500"/>
      <c r="I150" s="651"/>
      <c r="J150" s="571"/>
      <c r="K150" s="1500"/>
      <c r="L150" s="214"/>
      <c r="M150" s="2189"/>
      <c r="N150" s="334"/>
      <c r="O150" s="1624"/>
      <c r="P150" s="1624"/>
      <c r="AH150" s="1631">
        <v>0</v>
      </c>
    </row>
    <row s="1635" customFormat="1" customHeight="1" ht="45" hidden="1">
      <c r="A151" s="1779" t="s">
        <v>167</v>
      </c>
      <c r="B151" s="1779" t="s">
        <v>168</v>
      </c>
      <c r="C151" s="369"/>
      <c r="D151" s="2481"/>
      <c r="E151" s="2223"/>
      <c r="F151" s="2402" t="str">
        <f>INDEX(PT_DIFFERENTIATION_VTAR,MATCH(A151,PT_DIFFERENTIATION_VTAR_ID,0))</f>
        <v/>
      </c>
      <c r="G151" s="2446" t="str">
        <f>INDEX(PT_DIFFERENTIATION_NTAR,MATCH(B151,PT_DIFFERENTIATION_NTAR_ID,0))</f>
        <v/>
      </c>
      <c r="H151" s="1859"/>
      <c r="I151" s="1738"/>
      <c r="J151" s="1772"/>
      <c r="K151" s="1777"/>
      <c r="L151" s="1859" t="s">
        <v>311</v>
      </c>
      <c r="M151" s="2190"/>
      <c r="N151" s="334"/>
      <c r="O151" s="1624"/>
      <c r="P151" s="1624"/>
      <c r="AH151" s="1631">
        <v>0</v>
      </c>
    </row>
    <row s="1635" customFormat="1" customHeight="1" ht="18.75" hidden="1">
      <c r="A152" s="1779"/>
      <c r="B152" s="1779"/>
      <c r="C152" s="369" t="s">
        <v>1233</v>
      </c>
      <c r="D152" s="2481"/>
      <c r="E152" s="2223"/>
      <c r="F152" s="2402"/>
      <c r="G152" s="2446"/>
      <c r="H152" s="1500"/>
      <c r="I152" s="651" t="s">
        <v>1232</v>
      </c>
      <c r="J152" s="571"/>
      <c r="K152" s="1500"/>
      <c r="L152" s="214"/>
      <c r="M152" s="1858"/>
      <c r="N152" s="334"/>
      <c r="O152" s="1624"/>
      <c r="P152" s="1624"/>
      <c r="AH152" s="1631">
        <v>0</v>
      </c>
    </row>
    <row s="1635" customFormat="1" customHeight="1" ht="0.75" hidden="1">
      <c r="A153" s="1779"/>
      <c r="B153" s="1779"/>
      <c r="C153" s="369" t="s">
        <v>1240</v>
      </c>
      <c r="D153" s="2481"/>
      <c r="E153" s="2223"/>
      <c r="F153" s="2402"/>
      <c r="G153" s="400"/>
      <c r="H153" s="1500"/>
      <c r="I153" s="651"/>
      <c r="J153" s="571"/>
      <c r="K153" s="1500"/>
      <c r="L153" s="214"/>
      <c r="M153" s="341"/>
      <c r="N153" s="334"/>
      <c r="O153" s="1624"/>
      <c r="P153" s="1624"/>
      <c r="AH153" s="1631">
        <v>0</v>
      </c>
    </row>
    <row s="1635" customFormat="1" customHeight="1" ht="45" hidden="1">
      <c r="A154" s="1779" t="s">
        <v>174</v>
      </c>
      <c r="B154" s="1779" t="s">
        <v>175</v>
      </c>
      <c r="C154" s="369"/>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59"/>
      <c r="I154" s="1738"/>
      <c r="J154" s="1772"/>
      <c r="K154" s="1777"/>
      <c r="L154" s="1859" t="s">
        <v>311</v>
      </c>
      <c r="M154" s="341"/>
      <c r="N154" s="334"/>
      <c r="O154" s="1624"/>
      <c r="P154" s="1624"/>
      <c r="AH154" s="1631">
        <v>0</v>
      </c>
    </row>
    <row s="1635" customFormat="1" customHeight="1" ht="18.75" hidden="1">
      <c r="A155" s="1779"/>
      <c r="B155" s="1779"/>
      <c r="C155" s="369" t="s">
        <v>1233</v>
      </c>
      <c r="D155" s="2481"/>
      <c r="E155" s="2223"/>
      <c r="F155" s="2402"/>
      <c r="G155" s="2446"/>
      <c r="H155" s="1500"/>
      <c r="I155" s="651" t="s">
        <v>1232</v>
      </c>
      <c r="J155" s="571"/>
      <c r="K155" s="1500"/>
      <c r="L155" s="214"/>
      <c r="M155" s="341"/>
      <c r="N155" s="334"/>
      <c r="O155" s="1624"/>
      <c r="P155" s="1624"/>
      <c r="AH155" s="1631">
        <v>0</v>
      </c>
    </row>
    <row s="1635" customFormat="1" customHeight="1" ht="0.75" hidden="1">
      <c r="A156" s="1779"/>
      <c r="B156" s="1779"/>
      <c r="C156" s="369" t="s">
        <v>1240</v>
      </c>
      <c r="D156" s="2481"/>
      <c r="E156" s="2223"/>
      <c r="F156" s="2402"/>
      <c r="G156" s="400"/>
      <c r="H156" s="1500"/>
      <c r="I156" s="651"/>
      <c r="J156" s="571"/>
      <c r="K156" s="1500"/>
      <c r="L156" s="214"/>
      <c r="M156" s="341"/>
      <c r="N156" s="334"/>
      <c r="O156" s="1624"/>
      <c r="P156" s="1624"/>
      <c r="AH156" s="1631">
        <v>0</v>
      </c>
    </row>
    <row s="1635" customFormat="1" customHeight="1" ht="45" hidden="1">
      <c r="A157" s="1779" t="s">
        <v>180</v>
      </c>
      <c r="B157" s="1779" t="s">
        <v>181</v>
      </c>
      <c r="C157" s="369"/>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59"/>
      <c r="I157" s="1738"/>
      <c r="J157" s="1772"/>
      <c r="K157" s="1777"/>
      <c r="L157" s="1859" t="s">
        <v>311</v>
      </c>
      <c r="M157" s="341"/>
      <c r="N157" s="334"/>
      <c r="O157" s="1624"/>
      <c r="P157" s="1624"/>
      <c r="AH157" s="1631">
        <v>0</v>
      </c>
    </row>
    <row s="1635" customFormat="1" customHeight="1" ht="18.75" hidden="1">
      <c r="A158" s="1779"/>
      <c r="B158" s="1779"/>
      <c r="C158" s="369" t="s">
        <v>1233</v>
      </c>
      <c r="D158" s="2481"/>
      <c r="E158" s="2223"/>
      <c r="F158" s="2402"/>
      <c r="G158" s="2446"/>
      <c r="H158" s="1500"/>
      <c r="I158" s="651" t="s">
        <v>1232</v>
      </c>
      <c r="J158" s="571"/>
      <c r="K158" s="1500"/>
      <c r="L158" s="214"/>
      <c r="M158" s="341"/>
      <c r="N158" s="334"/>
      <c r="O158" s="1624"/>
      <c r="P158" s="1624"/>
      <c r="AH158" s="1631">
        <v>0</v>
      </c>
    </row>
    <row s="1635" customFormat="1" customHeight="1" ht="0.75" hidden="1">
      <c r="A159" s="1779"/>
      <c r="B159" s="1779"/>
      <c r="C159" s="369" t="s">
        <v>1240</v>
      </c>
      <c r="D159" s="2481"/>
      <c r="E159" s="2223"/>
      <c r="F159" s="2402"/>
      <c r="G159" s="400"/>
      <c r="H159" s="1500"/>
      <c r="I159" s="651"/>
      <c r="J159" s="571"/>
      <c r="K159" s="1500"/>
      <c r="L159" s="214"/>
      <c r="M159" s="341"/>
      <c r="N159" s="334"/>
      <c r="O159" s="1624"/>
      <c r="P159" s="1624"/>
      <c r="AH159" s="1631">
        <v>0</v>
      </c>
    </row>
    <row s="1635" customFormat="1" customHeight="1" ht="18.75" hidden="1">
      <c r="A160" s="1779" t="s">
        <v>186</v>
      </c>
      <c r="B160" s="1779" t="s">
        <v>187</v>
      </c>
      <c r="C160" s="369"/>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59"/>
      <c r="I160" s="1738"/>
      <c r="J160" s="1772"/>
      <c r="K160" s="1777"/>
      <c r="L160" s="1859" t="s">
        <v>311</v>
      </c>
      <c r="M160" s="341"/>
      <c r="N160" s="334"/>
      <c r="O160" s="1624"/>
      <c r="P160" s="1624"/>
      <c r="AH160" s="1631">
        <v>0</v>
      </c>
    </row>
    <row s="1635" customFormat="1" customHeight="1" ht="18.75" hidden="1">
      <c r="A161" s="1779"/>
      <c r="B161" s="1779"/>
      <c r="C161" s="369" t="s">
        <v>1233</v>
      </c>
      <c r="D161" s="2481"/>
      <c r="E161" s="2223"/>
      <c r="F161" s="2402"/>
      <c r="G161" s="2446"/>
      <c r="H161" s="1500"/>
      <c r="I161" s="651" t="s">
        <v>1232</v>
      </c>
      <c r="J161" s="571"/>
      <c r="K161" s="1500"/>
      <c r="L161" s="214"/>
      <c r="M161" s="341"/>
      <c r="N161" s="334"/>
      <c r="O161" s="1624"/>
      <c r="P161" s="1624"/>
      <c r="AH161" s="1631">
        <v>0</v>
      </c>
    </row>
    <row s="1635" customFormat="1" customHeight="1" ht="0.75" hidden="1">
      <c r="A162" s="1779"/>
      <c r="B162" s="1779"/>
      <c r="C162" s="369" t="s">
        <v>1240</v>
      </c>
      <c r="D162" s="2481"/>
      <c r="E162" s="2223"/>
      <c r="F162" s="2402"/>
      <c r="G162" s="400"/>
      <c r="H162" s="1500"/>
      <c r="I162" s="651"/>
      <c r="J162" s="571"/>
      <c r="K162" s="1500"/>
      <c r="L162" s="214"/>
      <c r="M162" s="341"/>
      <c r="N162" s="334"/>
      <c r="O162" s="1624"/>
      <c r="P162" s="1624"/>
      <c r="AH162" s="1631">
        <v>0</v>
      </c>
    </row>
    <row s="1635" customFormat="1" customHeight="1" ht="18.75" hidden="1">
      <c r="A163" s="1779" t="s">
        <v>192</v>
      </c>
      <c r="B163" s="1779" t="s">
        <v>193</v>
      </c>
      <c r="C163" s="369"/>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59"/>
      <c r="I163" s="1738"/>
      <c r="J163" s="1772"/>
      <c r="K163" s="1777"/>
      <c r="L163" s="1859" t="s">
        <v>311</v>
      </c>
      <c r="M163" s="341"/>
      <c r="N163" s="334"/>
      <c r="O163" s="1624"/>
      <c r="P163" s="1624"/>
      <c r="AH163" s="1631">
        <v>0</v>
      </c>
    </row>
    <row s="1635" customFormat="1" customHeight="1" ht="18.75" hidden="1">
      <c r="A164" s="1779"/>
      <c r="B164" s="1779"/>
      <c r="C164" s="369" t="s">
        <v>1233</v>
      </c>
      <c r="D164" s="2481"/>
      <c r="E164" s="2223"/>
      <c r="F164" s="2402"/>
      <c r="G164" s="2446"/>
      <c r="H164" s="1500"/>
      <c r="I164" s="651" t="s">
        <v>1232</v>
      </c>
      <c r="J164" s="571"/>
      <c r="K164" s="1500"/>
      <c r="L164" s="214"/>
      <c r="M164" s="341"/>
      <c r="N164" s="334"/>
      <c r="O164" s="1624"/>
      <c r="P164" s="1624"/>
      <c r="AH164" s="1631">
        <v>0</v>
      </c>
    </row>
    <row s="1635" customFormat="1" customHeight="1" ht="0.75" hidden="1">
      <c r="A165" s="1779"/>
      <c r="B165" s="1779"/>
      <c r="C165" s="369" t="s">
        <v>1240</v>
      </c>
      <c r="D165" s="2481"/>
      <c r="E165" s="2223"/>
      <c r="F165" s="2402"/>
      <c r="G165" s="400"/>
      <c r="H165" s="1500"/>
      <c r="I165" s="651"/>
      <c r="J165" s="571"/>
      <c r="K165" s="1500"/>
      <c r="L165" s="214"/>
      <c r="M165" s="341"/>
      <c r="N165" s="334"/>
      <c r="O165" s="1624"/>
      <c r="P165" s="1624"/>
      <c r="AH165" s="1631">
        <v>0</v>
      </c>
    </row>
    <row s="1635" customFormat="1" customHeight="1" ht="18.75" hidden="1">
      <c r="A166" s="1779" t="s">
        <v>198</v>
      </c>
      <c r="B166" s="1779" t="s">
        <v>199</v>
      </c>
      <c r="C166" s="369"/>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59"/>
      <c r="I166" s="1738"/>
      <c r="J166" s="1772"/>
      <c r="K166" s="1777"/>
      <c r="L166" s="1859" t="s">
        <v>311</v>
      </c>
      <c r="M166" s="341"/>
      <c r="N166" s="334"/>
      <c r="O166" s="1624"/>
      <c r="P166" s="1624"/>
      <c r="AH166" s="1631">
        <v>0</v>
      </c>
    </row>
    <row s="1635" customFormat="1" customHeight="1" ht="18.75" hidden="1">
      <c r="A167" s="1779"/>
      <c r="B167" s="1779"/>
      <c r="C167" s="369" t="s">
        <v>1233</v>
      </c>
      <c r="D167" s="2481"/>
      <c r="E167" s="2223"/>
      <c r="F167" s="2402"/>
      <c r="G167" s="2446"/>
      <c r="H167" s="1500"/>
      <c r="I167" s="651" t="s">
        <v>1232</v>
      </c>
      <c r="J167" s="571"/>
      <c r="K167" s="1500"/>
      <c r="L167" s="214"/>
      <c r="M167" s="341"/>
      <c r="N167" s="334"/>
      <c r="O167" s="1624"/>
      <c r="P167" s="1624"/>
      <c r="AH167" s="1631">
        <v>0</v>
      </c>
    </row>
    <row s="1635" customFormat="1" customHeight="1" ht="0.75" hidden="1">
      <c r="A168" s="1779"/>
      <c r="B168" s="1779"/>
      <c r="C168" s="369" t="s">
        <v>1240</v>
      </c>
      <c r="D168" s="2481"/>
      <c r="E168" s="2223"/>
      <c r="F168" s="2402"/>
      <c r="G168" s="400"/>
      <c r="H168" s="1500"/>
      <c r="I168" s="651"/>
      <c r="J168" s="571"/>
      <c r="K168" s="1500"/>
      <c r="L168" s="214"/>
      <c r="M168" s="341"/>
      <c r="N168" s="334"/>
      <c r="O168" s="1624"/>
      <c r="P168" s="1624"/>
      <c r="AH168" s="1631">
        <v>0</v>
      </c>
    </row>
    <row s="1635" customFormat="1" customHeight="1" ht="18.75" hidden="1">
      <c r="A169" s="1779" t="s">
        <v>204</v>
      </c>
      <c r="B169" s="1779" t="s">
        <v>205</v>
      </c>
      <c r="C169" s="369"/>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59"/>
      <c r="I169" s="1738"/>
      <c r="J169" s="1772"/>
      <c r="K169" s="1777"/>
      <c r="L169" s="1859" t="s">
        <v>311</v>
      </c>
      <c r="M169" s="341"/>
      <c r="N169" s="334"/>
      <c r="O169" s="1624"/>
      <c r="P169" s="1624"/>
      <c r="AH169" s="1631">
        <v>0</v>
      </c>
    </row>
    <row s="1635" customFormat="1" customHeight="1" ht="18.75" hidden="1">
      <c r="A170" s="1779"/>
      <c r="B170" s="1779"/>
      <c r="C170" s="369" t="s">
        <v>1233</v>
      </c>
      <c r="D170" s="2481"/>
      <c r="E170" s="2223"/>
      <c r="F170" s="2402"/>
      <c r="G170" s="2446"/>
      <c r="H170" s="1500"/>
      <c r="I170" s="651" t="s">
        <v>1232</v>
      </c>
      <c r="J170" s="571"/>
      <c r="K170" s="1500"/>
      <c r="L170" s="214"/>
      <c r="M170" s="341"/>
      <c r="N170" s="334"/>
      <c r="O170" s="1624"/>
      <c r="P170" s="1624"/>
      <c r="AH170" s="1631">
        <v>0</v>
      </c>
    </row>
    <row s="1635" customFormat="1" customHeight="1" ht="0.75" hidden="1">
      <c r="A171" s="1779"/>
      <c r="B171" s="1779"/>
      <c r="C171" s="369" t="s">
        <v>1240</v>
      </c>
      <c r="D171" s="2481"/>
      <c r="E171" s="2223"/>
      <c r="F171" s="2402"/>
      <c r="G171" s="400"/>
      <c r="H171" s="1500"/>
      <c r="I171" s="651"/>
      <c r="J171" s="571"/>
      <c r="K171" s="1500"/>
      <c r="L171" s="214"/>
      <c r="M171" s="341"/>
      <c r="N171" s="334"/>
      <c r="O171" s="1624"/>
      <c r="P171" s="1624"/>
      <c r="AH171" s="1631">
        <v>0</v>
      </c>
    </row>
    <row s="1635" customFormat="1" customHeight="1" ht="18.75" hidden="1">
      <c r="A172" s="1779" t="s">
        <v>210</v>
      </c>
      <c r="B172" s="1779" t="s">
        <v>211</v>
      </c>
      <c r="C172" s="369"/>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86"/>
      <c r="I172" s="1738"/>
      <c r="J172" s="1772"/>
      <c r="K172" s="1777"/>
      <c r="L172" s="1986" t="s">
        <v>311</v>
      </c>
      <c r="M172" s="341"/>
      <c r="N172" s="334"/>
      <c r="O172" s="1624"/>
      <c r="P172" s="1624"/>
      <c r="AH172" s="1631">
        <v>0</v>
      </c>
    </row>
    <row s="1635" customFormat="1" customHeight="1" ht="18.75" hidden="1">
      <c r="A173" s="1779"/>
      <c r="B173" s="1779"/>
      <c r="C173" s="369" t="s">
        <v>1233</v>
      </c>
      <c r="D173" s="2481"/>
      <c r="E173" s="2223"/>
      <c r="F173" s="2402"/>
      <c r="G173" s="2446"/>
      <c r="H173" s="1500"/>
      <c r="I173" s="651" t="s">
        <v>1232</v>
      </c>
      <c r="J173" s="571"/>
      <c r="K173" s="1500"/>
      <c r="L173" s="214"/>
      <c r="M173" s="341"/>
      <c r="N173" s="334"/>
      <c r="O173" s="1624"/>
      <c r="P173" s="1624"/>
      <c r="AH173" s="1631">
        <v>0</v>
      </c>
    </row>
    <row s="1635" customFormat="1" customHeight="1" ht="0.75" hidden="1">
      <c r="A174" s="1779"/>
      <c r="B174" s="1779"/>
      <c r="C174" s="369" t="s">
        <v>1240</v>
      </c>
      <c r="D174" s="2481"/>
      <c r="E174" s="2223"/>
      <c r="F174" s="2402"/>
      <c r="G174" s="400"/>
      <c r="H174" s="1500"/>
      <c r="I174" s="651"/>
      <c r="J174" s="571"/>
      <c r="K174" s="1500"/>
      <c r="L174" s="214"/>
      <c r="M174" s="341"/>
      <c r="N174" s="334"/>
      <c r="O174" s="1624"/>
      <c r="P174" s="1624"/>
      <c r="AH174" s="1631">
        <v>0</v>
      </c>
    </row>
    <row s="1635" customFormat="1" customHeight="1" ht="18.75" hidden="1">
      <c r="A175" s="1779" t="s">
        <v>230</v>
      </c>
      <c r="B175" s="1779" t="s">
        <v>231</v>
      </c>
      <c r="C175" s="369"/>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59"/>
      <c r="I175" s="1738"/>
      <c r="J175" s="1772"/>
      <c r="K175" s="1777"/>
      <c r="L175" s="1859" t="s">
        <v>311</v>
      </c>
      <c r="M175" s="341"/>
      <c r="N175" s="334"/>
      <c r="O175" s="1624"/>
      <c r="P175" s="1624"/>
      <c r="AH175" s="1631">
        <v>0</v>
      </c>
    </row>
    <row s="1635" customFormat="1" customHeight="1" ht="18.75" hidden="1">
      <c r="A176" s="1779"/>
      <c r="B176" s="1779"/>
      <c r="C176" s="369" t="s">
        <v>1233</v>
      </c>
      <c r="D176" s="2481"/>
      <c r="E176" s="2223"/>
      <c r="F176" s="2402"/>
      <c r="G176" s="2446"/>
      <c r="H176" s="1500"/>
      <c r="I176" s="651" t="s">
        <v>1232</v>
      </c>
      <c r="J176" s="571"/>
      <c r="K176" s="1500"/>
      <c r="L176" s="214"/>
      <c r="M176" s="341"/>
      <c r="N176" s="334"/>
      <c r="O176" s="1624"/>
      <c r="P176" s="1624"/>
      <c r="AH176" s="1631">
        <v>0</v>
      </c>
    </row>
    <row s="1635" customFormat="1" customHeight="1" ht="0.75" hidden="1">
      <c r="A177" s="1779"/>
      <c r="B177" s="1779"/>
      <c r="C177" s="369" t="s">
        <v>1240</v>
      </c>
      <c r="D177" s="2481"/>
      <c r="E177" s="2223"/>
      <c r="F177" s="2402"/>
      <c r="G177" s="400"/>
      <c r="H177" s="1500"/>
      <c r="I177" s="651"/>
      <c r="J177" s="571"/>
      <c r="K177" s="1500"/>
      <c r="L177" s="214"/>
      <c r="M177" s="341"/>
      <c r="N177" s="334"/>
      <c r="O177" s="1624"/>
      <c r="P177" s="1624"/>
      <c r="AH177" s="1631">
        <v>0</v>
      </c>
    </row>
    <row s="1635" customFormat="1" customHeight="1" ht="18.75" hidden="1">
      <c r="A178" s="1779" t="s">
        <v>235</v>
      </c>
      <c r="B178" s="1779" t="s">
        <v>236</v>
      </c>
      <c r="C178" s="369"/>
      <c r="D178" s="2481"/>
      <c r="E178" s="2223"/>
      <c r="F178" s="2402" t="str">
        <f>INDEX(PT_DIFFERENTIATION_VTAR,MATCH(A178,PT_DIFFERENTIATION_VTAR_ID,0))</f>
        <v>Тариф на техническую воду</v>
      </c>
      <c r="G178" s="2446" t="str">
        <f>INDEX(PT_DIFFERENTIATION_NTAR,MATCH(B178,PT_DIFFERENTIATION_NTAR_ID,0))</f>
        <v/>
      </c>
      <c r="H178" s="1859"/>
      <c r="I178" s="1738"/>
      <c r="J178" s="1772"/>
      <c r="K178" s="1777"/>
      <c r="L178" s="1859" t="s">
        <v>311</v>
      </c>
      <c r="M178" s="341"/>
      <c r="N178" s="334"/>
      <c r="O178" s="1624"/>
      <c r="P178" s="1624"/>
      <c r="AH178" s="1631">
        <v>0</v>
      </c>
    </row>
    <row s="1635" customFormat="1" customHeight="1" ht="18.75" hidden="1">
      <c r="A179" s="1779"/>
      <c r="B179" s="1779"/>
      <c r="C179" s="369" t="s">
        <v>1233</v>
      </c>
      <c r="D179" s="2481"/>
      <c r="E179" s="2223"/>
      <c r="F179" s="2402"/>
      <c r="G179" s="2446"/>
      <c r="H179" s="1500"/>
      <c r="I179" s="651" t="s">
        <v>1232</v>
      </c>
      <c r="J179" s="571"/>
      <c r="K179" s="1500"/>
      <c r="L179" s="214"/>
      <c r="M179" s="341"/>
      <c r="N179" s="334"/>
      <c r="O179" s="1624"/>
      <c r="P179" s="1624"/>
      <c r="AH179" s="1631">
        <v>0</v>
      </c>
    </row>
    <row s="1635" customFormat="1" customHeight="1" ht="0.75" hidden="1">
      <c r="A180" s="1779"/>
      <c r="B180" s="1779"/>
      <c r="C180" s="369" t="s">
        <v>1240</v>
      </c>
      <c r="D180" s="2481"/>
      <c r="E180" s="2223"/>
      <c r="F180" s="2402"/>
      <c r="G180" s="400"/>
      <c r="H180" s="1500"/>
      <c r="I180" s="651"/>
      <c r="J180" s="571"/>
      <c r="K180" s="1500"/>
      <c r="L180" s="214"/>
      <c r="M180" s="341"/>
      <c r="N180" s="334"/>
      <c r="O180" s="1624"/>
      <c r="P180" s="1624"/>
      <c r="AH180" s="1631">
        <v>0</v>
      </c>
    </row>
    <row s="1635" customFormat="1" customHeight="1" ht="18.75" hidden="1">
      <c r="A181" s="1779" t="s">
        <v>240</v>
      </c>
      <c r="B181" s="1779" t="s">
        <v>241</v>
      </c>
      <c r="C181" s="369"/>
      <c r="D181" s="2481"/>
      <c r="E181" s="2223"/>
      <c r="F181" s="2402" t="str">
        <f>INDEX(PT_DIFFERENTIATION_VTAR,MATCH(A181,PT_DIFFERENTIATION_VTAR_ID,0))</f>
        <v>Тариф на транспортировку воды</v>
      </c>
      <c r="G181" s="2446" t="str">
        <f>INDEX(PT_DIFFERENTIATION_NTAR,MATCH(B181,PT_DIFFERENTIATION_NTAR_ID,0))</f>
        <v/>
      </c>
      <c r="H181" s="1859"/>
      <c r="I181" s="1738"/>
      <c r="J181" s="1772"/>
      <c r="K181" s="1777"/>
      <c r="L181" s="1859" t="s">
        <v>311</v>
      </c>
      <c r="M181" s="341"/>
      <c r="N181" s="334"/>
      <c r="O181" s="1624"/>
      <c r="P181" s="1624"/>
      <c r="AH181" s="1631">
        <v>0</v>
      </c>
    </row>
    <row s="1635" customFormat="1" customHeight="1" ht="18.75" hidden="1">
      <c r="A182" s="1779"/>
      <c r="B182" s="1779"/>
      <c r="C182" s="369" t="s">
        <v>1233</v>
      </c>
      <c r="D182" s="2481"/>
      <c r="E182" s="2223"/>
      <c r="F182" s="2402"/>
      <c r="G182" s="2446"/>
      <c r="H182" s="1500"/>
      <c r="I182" s="651" t="s">
        <v>1232</v>
      </c>
      <c r="J182" s="571"/>
      <c r="K182" s="1500"/>
      <c r="L182" s="214"/>
      <c r="M182" s="341"/>
      <c r="N182" s="334"/>
      <c r="O182" s="1624"/>
      <c r="P182" s="1624"/>
      <c r="AH182" s="1631">
        <v>0</v>
      </c>
    </row>
    <row s="1635" customFormat="1" customHeight="1" ht="0.75" hidden="1">
      <c r="A183" s="1779"/>
      <c r="B183" s="1779"/>
      <c r="C183" s="369" t="s">
        <v>1240</v>
      </c>
      <c r="D183" s="2481"/>
      <c r="E183" s="2223"/>
      <c r="F183" s="2402"/>
      <c r="G183" s="400"/>
      <c r="H183" s="1500"/>
      <c r="I183" s="651"/>
      <c r="J183" s="571"/>
      <c r="K183" s="1500"/>
      <c r="L183" s="214"/>
      <c r="M183" s="341"/>
      <c r="N183" s="334"/>
      <c r="O183" s="1624"/>
      <c r="P183" s="1624"/>
      <c r="AH183" s="1631">
        <v>0</v>
      </c>
    </row>
    <row s="1635" customFormat="1" customHeight="1" ht="18.75" hidden="1">
      <c r="A184" s="1779" t="s">
        <v>245</v>
      </c>
      <c r="B184" s="1779" t="s">
        <v>246</v>
      </c>
      <c r="C184" s="369"/>
      <c r="D184" s="2481"/>
      <c r="E184" s="2223"/>
      <c r="F184" s="2402" t="str">
        <f>INDEX(PT_DIFFERENTIATION_VTAR,MATCH(A184,PT_DIFFERENTIATION_VTAR_ID,0))</f>
        <v>Тариф на подвоз воды</v>
      </c>
      <c r="G184" s="2446" t="str">
        <f>INDEX(PT_DIFFERENTIATION_NTAR,MATCH(B184,PT_DIFFERENTIATION_NTAR_ID,0))</f>
        <v/>
      </c>
      <c r="H184" s="1859"/>
      <c r="I184" s="1738"/>
      <c r="J184" s="1772"/>
      <c r="K184" s="1777"/>
      <c r="L184" s="1859" t="s">
        <v>311</v>
      </c>
      <c r="M184" s="341"/>
      <c r="N184" s="334"/>
      <c r="O184" s="1624"/>
      <c r="P184" s="1624"/>
      <c r="AH184" s="1631">
        <v>0</v>
      </c>
    </row>
    <row s="1635" customFormat="1" customHeight="1" ht="18.75" hidden="1">
      <c r="A185" s="1779"/>
      <c r="B185" s="1779"/>
      <c r="C185" s="369" t="s">
        <v>1233</v>
      </c>
      <c r="D185" s="2481"/>
      <c r="E185" s="2223"/>
      <c r="F185" s="2402"/>
      <c r="G185" s="2446"/>
      <c r="H185" s="1500"/>
      <c r="I185" s="651" t="s">
        <v>1232</v>
      </c>
      <c r="J185" s="571"/>
      <c r="K185" s="1500"/>
      <c r="L185" s="214"/>
      <c r="M185" s="341"/>
      <c r="N185" s="334"/>
      <c r="O185" s="1624"/>
      <c r="P185" s="1624"/>
      <c r="AH185" s="1631">
        <v>0</v>
      </c>
    </row>
    <row s="1635" customFormat="1" customHeight="1" ht="0.75" hidden="1">
      <c r="A186" s="1779"/>
      <c r="B186" s="1779"/>
      <c r="C186" s="369" t="s">
        <v>1240</v>
      </c>
      <c r="D186" s="2481"/>
      <c r="E186" s="2223"/>
      <c r="F186" s="2402"/>
      <c r="G186" s="400"/>
      <c r="H186" s="1500"/>
      <c r="I186" s="651"/>
      <c r="J186" s="571"/>
      <c r="K186" s="1500"/>
      <c r="L186" s="214"/>
      <c r="M186" s="341"/>
      <c r="N186" s="334"/>
      <c r="O186" s="1624"/>
      <c r="P186" s="1624"/>
      <c r="AH186" s="1631">
        <v>0</v>
      </c>
    </row>
    <row s="1635" customFormat="1" customHeight="1" ht="18.75" hidden="1">
      <c r="A187" s="1779" t="s">
        <v>250</v>
      </c>
      <c r="B187" s="1779" t="s">
        <v>251</v>
      </c>
      <c r="C187" s="369"/>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59"/>
      <c r="I187" s="1738"/>
      <c r="J187" s="1772"/>
      <c r="K187" s="1777"/>
      <c r="L187" s="1859" t="s">
        <v>311</v>
      </c>
      <c r="M187" s="341"/>
      <c r="N187" s="334"/>
      <c r="O187" s="1624"/>
      <c r="P187" s="1624"/>
      <c r="AH187" s="1631">
        <v>0</v>
      </c>
    </row>
    <row s="1635" customFormat="1" customHeight="1" ht="18.75" hidden="1">
      <c r="A188" s="1779"/>
      <c r="B188" s="1779"/>
      <c r="C188" s="369" t="s">
        <v>1233</v>
      </c>
      <c r="D188" s="2481"/>
      <c r="E188" s="2223"/>
      <c r="F188" s="2402"/>
      <c r="G188" s="2446"/>
      <c r="H188" s="1500"/>
      <c r="I188" s="651" t="s">
        <v>1232</v>
      </c>
      <c r="J188" s="571"/>
      <c r="K188" s="1500"/>
      <c r="L188" s="214"/>
      <c r="M188" s="341"/>
      <c r="N188" s="334"/>
      <c r="O188" s="1624"/>
      <c r="P188" s="1624"/>
      <c r="AH188" s="1631">
        <v>0</v>
      </c>
    </row>
    <row s="1635" customFormat="1" customHeight="1" ht="0.75" hidden="1">
      <c r="A189" s="1779"/>
      <c r="B189" s="1779"/>
      <c r="C189" s="369" t="s">
        <v>1240</v>
      </c>
      <c r="D189" s="2481"/>
      <c r="E189" s="2223"/>
      <c r="F189" s="2402"/>
      <c r="G189" s="400"/>
      <c r="H189" s="1500"/>
      <c r="I189" s="651"/>
      <c r="J189" s="571"/>
      <c r="K189" s="1500"/>
      <c r="L189" s="214"/>
      <c r="M189" s="341"/>
      <c r="N189" s="334"/>
      <c r="O189" s="1624"/>
      <c r="P189" s="1624"/>
      <c r="AH189" s="1631">
        <v>0</v>
      </c>
    </row>
    <row s="1635" customFormat="1" customHeight="1" ht="18.75" hidden="1">
      <c r="A190" s="1779" t="s">
        <v>255</v>
      </c>
      <c r="B190" s="1779" t="s">
        <v>256</v>
      </c>
      <c r="C190" s="369"/>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59"/>
      <c r="I190" s="1738"/>
      <c r="J190" s="1772"/>
      <c r="K190" s="1777"/>
      <c r="L190" s="1859" t="s">
        <v>311</v>
      </c>
      <c r="M190" s="341"/>
      <c r="N190" s="334"/>
      <c r="O190" s="1624"/>
      <c r="P190" s="1624"/>
      <c r="AH190" s="1631">
        <v>0</v>
      </c>
    </row>
    <row s="1635" customFormat="1" customHeight="1" ht="18.75" hidden="1">
      <c r="A191" s="1779"/>
      <c r="B191" s="1779"/>
      <c r="C191" s="369" t="s">
        <v>1233</v>
      </c>
      <c r="D191" s="2481"/>
      <c r="E191" s="2223"/>
      <c r="F191" s="2402"/>
      <c r="G191" s="2446"/>
      <c r="H191" s="1500"/>
      <c r="I191" s="651" t="s">
        <v>1232</v>
      </c>
      <c r="J191" s="571"/>
      <c r="K191" s="1500"/>
      <c r="L191" s="214"/>
      <c r="M191" s="341"/>
      <c r="N191" s="334"/>
      <c r="O191" s="1624"/>
      <c r="P191" s="1624"/>
      <c r="AH191" s="1631">
        <v>0</v>
      </c>
    </row>
    <row s="1635" customFormat="1" customHeight="1" ht="0.75" hidden="1">
      <c r="A192" s="1779"/>
      <c r="B192" s="1779"/>
      <c r="C192" s="369" t="s">
        <v>1240</v>
      </c>
      <c r="D192" s="2481"/>
      <c r="E192" s="2223"/>
      <c r="F192" s="2402"/>
      <c r="G192" s="400"/>
      <c r="H192" s="1500"/>
      <c r="I192" s="651"/>
      <c r="J192" s="571"/>
      <c r="K192" s="1500"/>
      <c r="L192" s="214"/>
      <c r="M192" s="341"/>
      <c r="N192" s="334"/>
      <c r="O192" s="1624"/>
      <c r="P192" s="1624"/>
      <c r="AH192" s="1631">
        <v>0</v>
      </c>
    </row>
    <row s="1635" customFormat="1" customHeight="1" ht="18.75" hidden="1">
      <c r="A193" s="1779" t="s">
        <v>260</v>
      </c>
      <c r="B193" s="1779" t="s">
        <v>261</v>
      </c>
      <c r="C193" s="369"/>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59"/>
      <c r="I193" s="1738"/>
      <c r="J193" s="1772"/>
      <c r="K193" s="1777"/>
      <c r="L193" s="1859" t="s">
        <v>311</v>
      </c>
      <c r="M193" s="341"/>
      <c r="N193" s="334"/>
      <c r="O193" s="1624"/>
      <c r="P193" s="1624"/>
      <c r="AH193" s="1631">
        <v>0</v>
      </c>
    </row>
    <row s="1635" customFormat="1" customHeight="1" ht="18.75" hidden="1">
      <c r="A194" s="1779"/>
      <c r="B194" s="1779"/>
      <c r="C194" s="369" t="s">
        <v>1233</v>
      </c>
      <c r="D194" s="2481"/>
      <c r="E194" s="2223"/>
      <c r="F194" s="2402"/>
      <c r="G194" s="2446"/>
      <c r="H194" s="1500"/>
      <c r="I194" s="651" t="s">
        <v>1232</v>
      </c>
      <c r="J194" s="571"/>
      <c r="K194" s="1500"/>
      <c r="L194" s="214"/>
      <c r="M194" s="341"/>
      <c r="N194" s="334"/>
      <c r="O194" s="1624"/>
      <c r="P194" s="1624"/>
      <c r="AH194" s="1631">
        <v>0</v>
      </c>
    </row>
    <row s="1635" customFormat="1" customHeight="1" ht="0.75" hidden="1">
      <c r="A195" s="1779"/>
      <c r="B195" s="1779"/>
      <c r="C195" s="369" t="s">
        <v>1240</v>
      </c>
      <c r="D195" s="2481"/>
      <c r="E195" s="2223"/>
      <c r="F195" s="2402"/>
      <c r="G195" s="400"/>
      <c r="H195" s="1500"/>
      <c r="I195" s="651"/>
      <c r="J195" s="571"/>
      <c r="K195" s="1500"/>
      <c r="L195" s="214"/>
      <c r="M195" s="341"/>
      <c r="N195" s="334"/>
      <c r="O195" s="1624"/>
      <c r="P195" s="1624"/>
      <c r="AH195" s="1631">
        <v>0</v>
      </c>
    </row>
    <row s="1635" customFormat="1" customHeight="1" ht="18.75" hidden="1">
      <c r="A196" s="1779" t="s">
        <v>265</v>
      </c>
      <c r="B196" s="1779" t="s">
        <v>266</v>
      </c>
      <c r="C196" s="369"/>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59"/>
      <c r="I196" s="1738"/>
      <c r="J196" s="1772"/>
      <c r="K196" s="1777"/>
      <c r="L196" s="1859" t="s">
        <v>311</v>
      </c>
      <c r="M196" s="341"/>
      <c r="N196" s="334"/>
      <c r="O196" s="1624"/>
      <c r="P196" s="1624"/>
      <c r="AH196" s="1631">
        <v>0</v>
      </c>
    </row>
    <row s="1635" customFormat="1" customHeight="1" ht="18.75" hidden="1">
      <c r="A197" s="1779"/>
      <c r="B197" s="1779"/>
      <c r="C197" s="369" t="s">
        <v>1233</v>
      </c>
      <c r="D197" s="2481"/>
      <c r="E197" s="2223"/>
      <c r="F197" s="2402"/>
      <c r="G197" s="2446"/>
      <c r="H197" s="1500"/>
      <c r="I197" s="651" t="s">
        <v>1232</v>
      </c>
      <c r="J197" s="571"/>
      <c r="K197" s="1500"/>
      <c r="L197" s="214"/>
      <c r="M197" s="341"/>
      <c r="N197" s="334"/>
      <c r="O197" s="1624"/>
      <c r="P197" s="1624"/>
      <c r="AH197" s="1631">
        <v>0</v>
      </c>
    </row>
    <row s="1635" customFormat="1" customHeight="1" ht="0.75" hidden="1">
      <c r="A198" s="1779"/>
      <c r="B198" s="1779"/>
      <c r="C198" s="369" t="s">
        <v>1240</v>
      </c>
      <c r="D198" s="2481"/>
      <c r="E198" s="2223"/>
      <c r="F198" s="2402"/>
      <c r="G198" s="400"/>
      <c r="H198" s="1500"/>
      <c r="I198" s="651"/>
      <c r="J198" s="571"/>
      <c r="K198" s="1500"/>
      <c r="L198" s="214"/>
      <c r="M198" s="341"/>
      <c r="N198" s="334"/>
      <c r="O198" s="1624"/>
      <c r="P198" s="1624"/>
      <c r="AH198" s="1631">
        <v>0</v>
      </c>
    </row>
    <row s="1635" customFormat="1" customHeight="1" ht="18.75" hidden="1">
      <c r="A199" s="1779" t="s">
        <v>270</v>
      </c>
      <c r="B199" s="1779" t="s">
        <v>271</v>
      </c>
      <c r="C199" s="369"/>
      <c r="D199" s="2481"/>
      <c r="E199" s="2223"/>
      <c r="F199" s="2402" t="str">
        <f>INDEX(PT_DIFFERENTIATION_VTAR,MATCH(A199,PT_DIFFERENTIATION_VTAR_ID,0))</f>
        <v>Тариф на водоотведение</v>
      </c>
      <c r="G199" s="2446" t="str">
        <f>INDEX(PT_DIFFERENTIATION_NTAR,MATCH(B199,PT_DIFFERENTIATION_NTAR_ID,0))</f>
        <v/>
      </c>
      <c r="H199" s="1859"/>
      <c r="I199" s="1738"/>
      <c r="J199" s="1772"/>
      <c r="K199" s="1777"/>
      <c r="L199" s="1859" t="s">
        <v>311</v>
      </c>
      <c r="M199" s="341"/>
      <c r="N199" s="334"/>
      <c r="O199" s="1624"/>
      <c r="P199" s="1624"/>
      <c r="AH199" s="1631">
        <v>0</v>
      </c>
    </row>
    <row s="1635" customFormat="1" customHeight="1" ht="18.75" hidden="1">
      <c r="A200" s="1779"/>
      <c r="B200" s="1779"/>
      <c r="C200" s="369" t="s">
        <v>1233</v>
      </c>
      <c r="D200" s="2481"/>
      <c r="E200" s="2223"/>
      <c r="F200" s="2402"/>
      <c r="G200" s="2446"/>
      <c r="H200" s="1500"/>
      <c r="I200" s="651" t="s">
        <v>1232</v>
      </c>
      <c r="J200" s="571"/>
      <c r="K200" s="1500"/>
      <c r="L200" s="214"/>
      <c r="M200" s="341"/>
      <c r="N200" s="334"/>
      <c r="O200" s="1624"/>
      <c r="P200" s="1624"/>
      <c r="AH200" s="1631">
        <v>0</v>
      </c>
    </row>
    <row s="1635" customFormat="1" customHeight="1" ht="0.75" hidden="1">
      <c r="A201" s="1779"/>
      <c r="B201" s="1779"/>
      <c r="C201" s="369" t="s">
        <v>1240</v>
      </c>
      <c r="D201" s="2481"/>
      <c r="E201" s="2223"/>
      <c r="F201" s="2402"/>
      <c r="G201" s="400"/>
      <c r="H201" s="1500"/>
      <c r="I201" s="651"/>
      <c r="J201" s="571"/>
      <c r="K201" s="1500"/>
      <c r="L201" s="214"/>
      <c r="M201" s="341"/>
      <c r="N201" s="334"/>
      <c r="O201" s="1624"/>
      <c r="P201" s="1624"/>
      <c r="AH201" s="1631">
        <v>0</v>
      </c>
    </row>
    <row s="1635" customFormat="1" customHeight="1" ht="18.75" hidden="1">
      <c r="A202" s="1779" t="s">
        <v>275</v>
      </c>
      <c r="B202" s="1779" t="s">
        <v>276</v>
      </c>
      <c r="C202" s="369"/>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59"/>
      <c r="I202" s="1738"/>
      <c r="J202" s="1772"/>
      <c r="K202" s="1777"/>
      <c r="L202" s="1859" t="s">
        <v>311</v>
      </c>
      <c r="M202" s="341"/>
      <c r="N202" s="334"/>
      <c r="O202" s="1624"/>
      <c r="P202" s="1624"/>
      <c r="AH202" s="1631">
        <v>0</v>
      </c>
    </row>
    <row s="1635" customFormat="1" customHeight="1" ht="18.75" hidden="1">
      <c r="A203" s="1779"/>
      <c r="B203" s="1779"/>
      <c r="C203" s="369" t="s">
        <v>1233</v>
      </c>
      <c r="D203" s="2481"/>
      <c r="E203" s="2223"/>
      <c r="F203" s="2402"/>
      <c r="G203" s="2446"/>
      <c r="H203" s="1500"/>
      <c r="I203" s="651" t="s">
        <v>1232</v>
      </c>
      <c r="J203" s="571"/>
      <c r="K203" s="1500"/>
      <c r="L203" s="214"/>
      <c r="M203" s="341"/>
      <c r="N203" s="334"/>
      <c r="O203" s="1624"/>
      <c r="P203" s="1624"/>
      <c r="AH203" s="1631">
        <v>0</v>
      </c>
    </row>
    <row s="1635" customFormat="1" customHeight="1" ht="0.75" hidden="1">
      <c r="A204" s="1779"/>
      <c r="B204" s="1779"/>
      <c r="C204" s="369" t="s">
        <v>1240</v>
      </c>
      <c r="D204" s="2481"/>
      <c r="E204" s="2223"/>
      <c r="F204" s="2402"/>
      <c r="G204" s="400"/>
      <c r="H204" s="1500"/>
      <c r="I204" s="651"/>
      <c r="J204" s="571"/>
      <c r="K204" s="1500"/>
      <c r="L204" s="214"/>
      <c r="M204" s="341"/>
      <c r="N204" s="334"/>
      <c r="O204" s="1624"/>
      <c r="P204" s="1624"/>
      <c r="AH204" s="1631">
        <v>0</v>
      </c>
    </row>
    <row s="1635" customFormat="1" customHeight="1" ht="18.75" hidden="1">
      <c r="A205" s="1779" t="s">
        <v>280</v>
      </c>
      <c r="B205" s="1779" t="s">
        <v>281</v>
      </c>
      <c r="C205" s="369"/>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59"/>
      <c r="I205" s="1738"/>
      <c r="J205" s="1772"/>
      <c r="K205" s="1777"/>
      <c r="L205" s="1859" t="s">
        <v>311</v>
      </c>
      <c r="M205" s="341"/>
      <c r="N205" s="334"/>
      <c r="O205" s="1624"/>
      <c r="P205" s="1624"/>
      <c r="AH205" s="1631">
        <v>0</v>
      </c>
    </row>
    <row s="1635" customFormat="1" customHeight="1" ht="18.75" hidden="1">
      <c r="A206" s="1779"/>
      <c r="B206" s="1779"/>
      <c r="C206" s="369" t="s">
        <v>1233</v>
      </c>
      <c r="D206" s="2481"/>
      <c r="E206" s="2223"/>
      <c r="F206" s="2402"/>
      <c r="G206" s="2446"/>
      <c r="H206" s="1500"/>
      <c r="I206" s="651" t="s">
        <v>1232</v>
      </c>
      <c r="J206" s="571"/>
      <c r="K206" s="1500"/>
      <c r="L206" s="214"/>
      <c r="M206" s="341"/>
      <c r="N206" s="334"/>
      <c r="O206" s="1624"/>
      <c r="P206" s="1624"/>
      <c r="AH206" s="1631">
        <v>0</v>
      </c>
    </row>
    <row s="1635" customFormat="1" customHeight="1" ht="1.05">
      <c r="A207" s="1779"/>
      <c r="B207" s="1779"/>
      <c r="C207" s="369" t="s">
        <v>1240</v>
      </c>
      <c r="D207" s="2481"/>
      <c r="E207" s="2223"/>
      <c r="F207" s="2402"/>
      <c r="G207" s="400"/>
      <c r="H207" s="1500"/>
      <c r="I207" s="651"/>
      <c r="J207" s="571"/>
      <c r="K207" s="1500"/>
      <c r="L207" s="214"/>
      <c r="M207" s="341"/>
      <c r="N207" s="334"/>
      <c r="O207" s="1624"/>
      <c r="P207" s="1624"/>
      <c r="AH207" s="1631">
        <v>1</v>
      </c>
    </row>
    <row customHeight="1" ht="27.299999999999997">
      <c r="A208" s="1779"/>
      <c r="B208" s="1779"/>
      <c r="D208" s="376"/>
      <c r="E208" s="147" t="s">
        <v>100</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9"/>
      <c r="H208" s="2479"/>
      <c r="I208" s="2479"/>
      <c r="J208" s="2479"/>
      <c r="K208" s="2479"/>
      <c r="L208" s="2479"/>
      <c r="M208" s="297"/>
      <c r="N208" s="334"/>
      <c r="AH208" s="374">
        <v>26</v>
      </c>
    </row>
    <row s="1635" customFormat="1" customHeight="1" ht="60.75" hidden="1">
      <c r="A209" s="1779" t="s">
        <v>162</v>
      </c>
      <c r="B209" s="1779" t="s">
        <v>163</v>
      </c>
      <c r="C209" s="369"/>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59"/>
      <c r="I209" s="1738"/>
      <c r="J209" s="1772"/>
      <c r="K209" s="1777"/>
      <c r="L209" s="1859" t="s">
        <v>311</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1233</v>
      </c>
      <c r="D210" s="2481"/>
      <c r="E210" s="2223"/>
      <c r="F210" s="2402"/>
      <c r="G210" s="2446"/>
      <c r="H210" s="1500"/>
      <c r="I210" s="651" t="s">
        <v>1232</v>
      </c>
      <c r="J210" s="571"/>
      <c r="K210" s="1500"/>
      <c r="L210" s="214"/>
      <c r="M210" s="2189"/>
      <c r="N210" s="334"/>
      <c r="O210" s="1624"/>
      <c r="P210" s="1624"/>
      <c r="AH210" s="1631">
        <v>0</v>
      </c>
    </row>
    <row s="1635" customFormat="1" customHeight="1" ht="0.75" hidden="1">
      <c r="A211" s="1779"/>
      <c r="B211" s="1779"/>
      <c r="C211" s="369" t="s">
        <v>1240</v>
      </c>
      <c r="D211" s="2481"/>
      <c r="E211" s="2223"/>
      <c r="F211" s="2402"/>
      <c r="G211" s="400"/>
      <c r="H211" s="1500"/>
      <c r="I211" s="651"/>
      <c r="J211" s="571"/>
      <c r="K211" s="1500"/>
      <c r="L211" s="214"/>
      <c r="M211" s="2189"/>
      <c r="N211" s="334"/>
      <c r="O211" s="1624"/>
      <c r="P211" s="1624"/>
      <c r="AH211" s="1631">
        <v>0</v>
      </c>
    </row>
    <row s="1635" customFormat="1" customHeight="1" ht="45" hidden="1">
      <c r="A212" s="1779" t="s">
        <v>167</v>
      </c>
      <c r="B212" s="1779" t="s">
        <v>168</v>
      </c>
      <c r="C212" s="369"/>
      <c r="D212" s="2481"/>
      <c r="E212" s="2223"/>
      <c r="F212" s="2402" t="str">
        <f>INDEX(PT_DIFFERENTIATION_VTAR,MATCH(A212,PT_DIFFERENTIATION_VTAR_ID,0))</f>
        <v/>
      </c>
      <c r="G212" s="2446" t="str">
        <f>INDEX(PT_DIFFERENTIATION_NTAR,MATCH(B212,PT_DIFFERENTIATION_NTAR_ID,0))</f>
        <v/>
      </c>
      <c r="H212" s="1859"/>
      <c r="I212" s="1738"/>
      <c r="J212" s="1772"/>
      <c r="K212" s="1777"/>
      <c r="L212" s="1859" t="s">
        <v>311</v>
      </c>
      <c r="M212" s="2190"/>
      <c r="N212" s="334"/>
      <c r="O212" s="1624"/>
      <c r="P212" s="1624"/>
      <c r="AH212" s="1631">
        <v>0</v>
      </c>
    </row>
    <row s="1635" customFormat="1" customHeight="1" ht="18.75" hidden="1">
      <c r="A213" s="1779"/>
      <c r="B213" s="1779"/>
      <c r="C213" s="369" t="s">
        <v>1233</v>
      </c>
      <c r="D213" s="2481"/>
      <c r="E213" s="2223"/>
      <c r="F213" s="2402"/>
      <c r="G213" s="2446"/>
      <c r="H213" s="1500"/>
      <c r="I213" s="651" t="s">
        <v>1232</v>
      </c>
      <c r="J213" s="571"/>
      <c r="K213" s="1500"/>
      <c r="L213" s="214"/>
      <c r="M213" s="1858"/>
      <c r="N213" s="334"/>
      <c r="O213" s="1624"/>
      <c r="P213" s="1624"/>
      <c r="AH213" s="1631">
        <v>0</v>
      </c>
    </row>
    <row s="1635" customFormat="1" customHeight="1" ht="0.75" hidden="1">
      <c r="A214" s="1779"/>
      <c r="B214" s="1779"/>
      <c r="C214" s="369" t="s">
        <v>1240</v>
      </c>
      <c r="D214" s="2481"/>
      <c r="E214" s="2223"/>
      <c r="F214" s="2402"/>
      <c r="G214" s="400"/>
      <c r="H214" s="1500"/>
      <c r="I214" s="651"/>
      <c r="J214" s="571"/>
      <c r="K214" s="1500"/>
      <c r="L214" s="214"/>
      <c r="M214" s="341"/>
      <c r="N214" s="334"/>
      <c r="O214" s="1624"/>
      <c r="P214" s="1624"/>
      <c r="AH214" s="1631">
        <v>0</v>
      </c>
    </row>
    <row s="1635" customFormat="1" customHeight="1" ht="45" hidden="1">
      <c r="A215" s="1779" t="s">
        <v>174</v>
      </c>
      <c r="B215" s="1779" t="s">
        <v>175</v>
      </c>
      <c r="C215" s="369"/>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59"/>
      <c r="I215" s="1738"/>
      <c r="J215" s="1772"/>
      <c r="K215" s="1777"/>
      <c r="L215" s="1859" t="s">
        <v>311</v>
      </c>
      <c r="M215" s="341"/>
      <c r="N215" s="334"/>
      <c r="O215" s="1624"/>
      <c r="P215" s="1624"/>
      <c r="AH215" s="1631">
        <v>0</v>
      </c>
    </row>
    <row s="1635" customFormat="1" customHeight="1" ht="18.75" hidden="1">
      <c r="A216" s="1779"/>
      <c r="B216" s="1779"/>
      <c r="C216" s="369" t="s">
        <v>1233</v>
      </c>
      <c r="D216" s="2481"/>
      <c r="E216" s="2223"/>
      <c r="F216" s="2402"/>
      <c r="G216" s="2446"/>
      <c r="H216" s="1500"/>
      <c r="I216" s="651" t="s">
        <v>1232</v>
      </c>
      <c r="J216" s="571"/>
      <c r="K216" s="1500"/>
      <c r="L216" s="214"/>
      <c r="M216" s="341"/>
      <c r="N216" s="334"/>
      <c r="O216" s="1624"/>
      <c r="P216" s="1624"/>
      <c r="AH216" s="1631">
        <v>0</v>
      </c>
    </row>
    <row s="1635" customFormat="1" customHeight="1" ht="0.75" hidden="1">
      <c r="A217" s="1779"/>
      <c r="B217" s="1779"/>
      <c r="C217" s="369" t="s">
        <v>1240</v>
      </c>
      <c r="D217" s="2481"/>
      <c r="E217" s="2223"/>
      <c r="F217" s="2402"/>
      <c r="G217" s="400"/>
      <c r="H217" s="1500"/>
      <c r="I217" s="651"/>
      <c r="J217" s="571"/>
      <c r="K217" s="1500"/>
      <c r="L217" s="214"/>
      <c r="M217" s="341"/>
      <c r="N217" s="334"/>
      <c r="O217" s="1624"/>
      <c r="P217" s="1624"/>
      <c r="AH217" s="1631">
        <v>0</v>
      </c>
    </row>
    <row s="1635" customFormat="1" customHeight="1" ht="45" hidden="1">
      <c r="A218" s="1779" t="s">
        <v>180</v>
      </c>
      <c r="B218" s="1779" t="s">
        <v>181</v>
      </c>
      <c r="C218" s="369"/>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59"/>
      <c r="I218" s="1738"/>
      <c r="J218" s="1772"/>
      <c r="K218" s="1777"/>
      <c r="L218" s="1859" t="s">
        <v>311</v>
      </c>
      <c r="M218" s="341"/>
      <c r="N218" s="334"/>
      <c r="O218" s="1624"/>
      <c r="P218" s="1624"/>
      <c r="AH218" s="1631">
        <v>0</v>
      </c>
    </row>
    <row s="1635" customFormat="1" customHeight="1" ht="18.75" hidden="1">
      <c r="A219" s="1779"/>
      <c r="B219" s="1779"/>
      <c r="C219" s="369" t="s">
        <v>1233</v>
      </c>
      <c r="D219" s="2481"/>
      <c r="E219" s="2223"/>
      <c r="F219" s="2402"/>
      <c r="G219" s="2446"/>
      <c r="H219" s="1500"/>
      <c r="I219" s="651" t="s">
        <v>1232</v>
      </c>
      <c r="J219" s="571"/>
      <c r="K219" s="1500"/>
      <c r="L219" s="214"/>
      <c r="M219" s="341"/>
      <c r="N219" s="334"/>
      <c r="O219" s="1624"/>
      <c r="P219" s="1624"/>
      <c r="AH219" s="1631">
        <v>0</v>
      </c>
    </row>
    <row s="1635" customFormat="1" customHeight="1" ht="0.75" hidden="1">
      <c r="A220" s="1779"/>
      <c r="B220" s="1779"/>
      <c r="C220" s="369" t="s">
        <v>1240</v>
      </c>
      <c r="D220" s="2481"/>
      <c r="E220" s="2223"/>
      <c r="F220" s="2402"/>
      <c r="G220" s="400"/>
      <c r="H220" s="1500"/>
      <c r="I220" s="651"/>
      <c r="J220" s="571"/>
      <c r="K220" s="1500"/>
      <c r="L220" s="214"/>
      <c r="M220" s="341"/>
      <c r="N220" s="334"/>
      <c r="O220" s="1624"/>
      <c r="P220" s="1624"/>
      <c r="AH220" s="1631">
        <v>0</v>
      </c>
    </row>
    <row s="1635" customFormat="1" customHeight="1" ht="18.75" hidden="1">
      <c r="A221" s="1779" t="s">
        <v>186</v>
      </c>
      <c r="B221" s="1779" t="s">
        <v>187</v>
      </c>
      <c r="C221" s="369"/>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59"/>
      <c r="I221" s="1738"/>
      <c r="J221" s="1772"/>
      <c r="K221" s="1777"/>
      <c r="L221" s="1859" t="s">
        <v>311</v>
      </c>
      <c r="M221" s="341"/>
      <c r="N221" s="334"/>
      <c r="O221" s="1624"/>
      <c r="P221" s="1624"/>
      <c r="AH221" s="1631">
        <v>0</v>
      </c>
    </row>
    <row s="1635" customFormat="1" customHeight="1" ht="18.75" hidden="1">
      <c r="A222" s="1779"/>
      <c r="B222" s="1779"/>
      <c r="C222" s="369" t="s">
        <v>1233</v>
      </c>
      <c r="D222" s="2481"/>
      <c r="E222" s="2223"/>
      <c r="F222" s="2402"/>
      <c r="G222" s="2446"/>
      <c r="H222" s="1500"/>
      <c r="I222" s="651" t="s">
        <v>1232</v>
      </c>
      <c r="J222" s="571"/>
      <c r="K222" s="1500"/>
      <c r="L222" s="214"/>
      <c r="M222" s="341"/>
      <c r="N222" s="334"/>
      <c r="O222" s="1624"/>
      <c r="P222" s="1624"/>
      <c r="AH222" s="1631">
        <v>0</v>
      </c>
    </row>
    <row s="1635" customFormat="1" customHeight="1" ht="0.75" hidden="1">
      <c r="A223" s="1779"/>
      <c r="B223" s="1779"/>
      <c r="C223" s="369" t="s">
        <v>1240</v>
      </c>
      <c r="D223" s="2481"/>
      <c r="E223" s="2223"/>
      <c r="F223" s="2402"/>
      <c r="G223" s="400"/>
      <c r="H223" s="1500"/>
      <c r="I223" s="651"/>
      <c r="J223" s="571"/>
      <c r="K223" s="1500"/>
      <c r="L223" s="214"/>
      <c r="M223" s="341"/>
      <c r="N223" s="334"/>
      <c r="O223" s="1624"/>
      <c r="P223" s="1624"/>
      <c r="AH223" s="1631">
        <v>0</v>
      </c>
    </row>
    <row s="1635" customFormat="1" customHeight="1" ht="18.75" hidden="1">
      <c r="A224" s="1779" t="s">
        <v>192</v>
      </c>
      <c r="B224" s="1779" t="s">
        <v>193</v>
      </c>
      <c r="C224" s="369"/>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59"/>
      <c r="I224" s="1738"/>
      <c r="J224" s="1772"/>
      <c r="K224" s="1777"/>
      <c r="L224" s="1859" t="s">
        <v>311</v>
      </c>
      <c r="M224" s="341"/>
      <c r="N224" s="334"/>
      <c r="O224" s="1624"/>
      <c r="P224" s="1624"/>
      <c r="AH224" s="1631">
        <v>0</v>
      </c>
    </row>
    <row s="1635" customFormat="1" customHeight="1" ht="18.75" hidden="1">
      <c r="A225" s="1779"/>
      <c r="B225" s="1779"/>
      <c r="C225" s="369" t="s">
        <v>1233</v>
      </c>
      <c r="D225" s="2481"/>
      <c r="E225" s="2223"/>
      <c r="F225" s="2402"/>
      <c r="G225" s="2446"/>
      <c r="H225" s="1500"/>
      <c r="I225" s="651" t="s">
        <v>1232</v>
      </c>
      <c r="J225" s="571"/>
      <c r="K225" s="1500"/>
      <c r="L225" s="214"/>
      <c r="M225" s="341"/>
      <c r="N225" s="334"/>
      <c r="O225" s="1624"/>
      <c r="P225" s="1624"/>
      <c r="AH225" s="1631">
        <v>0</v>
      </c>
    </row>
    <row s="1635" customFormat="1" customHeight="1" ht="0.75" hidden="1">
      <c r="A226" s="1779"/>
      <c r="B226" s="1779"/>
      <c r="C226" s="369" t="s">
        <v>1240</v>
      </c>
      <c r="D226" s="2481"/>
      <c r="E226" s="2223"/>
      <c r="F226" s="2402"/>
      <c r="G226" s="400"/>
      <c r="H226" s="1500"/>
      <c r="I226" s="651"/>
      <c r="J226" s="571"/>
      <c r="K226" s="1500"/>
      <c r="L226" s="214"/>
      <c r="M226" s="341"/>
      <c r="N226" s="334"/>
      <c r="O226" s="1624"/>
      <c r="P226" s="1624"/>
      <c r="AH226" s="1631">
        <v>0</v>
      </c>
    </row>
    <row s="1635" customFormat="1" customHeight="1" ht="18.75" hidden="1">
      <c r="A227" s="1779" t="s">
        <v>198</v>
      </c>
      <c r="B227" s="1779" t="s">
        <v>199</v>
      </c>
      <c r="C227" s="369"/>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59"/>
      <c r="I227" s="1738"/>
      <c r="J227" s="1772"/>
      <c r="K227" s="1777"/>
      <c r="L227" s="1859" t="s">
        <v>311</v>
      </c>
      <c r="M227" s="341"/>
      <c r="N227" s="334"/>
      <c r="O227" s="1624"/>
      <c r="P227" s="1624"/>
      <c r="AH227" s="1631">
        <v>0</v>
      </c>
    </row>
    <row s="1635" customFormat="1" customHeight="1" ht="18.75" hidden="1">
      <c r="A228" s="1779"/>
      <c r="B228" s="1779"/>
      <c r="C228" s="369" t="s">
        <v>1233</v>
      </c>
      <c r="D228" s="2481"/>
      <c r="E228" s="2223"/>
      <c r="F228" s="2402"/>
      <c r="G228" s="2446"/>
      <c r="H228" s="1500"/>
      <c r="I228" s="651" t="s">
        <v>1232</v>
      </c>
      <c r="J228" s="571"/>
      <c r="K228" s="1500"/>
      <c r="L228" s="214"/>
      <c r="M228" s="341"/>
      <c r="N228" s="334"/>
      <c r="O228" s="1624"/>
      <c r="P228" s="1624"/>
      <c r="AH228" s="1631">
        <v>0</v>
      </c>
    </row>
    <row s="1635" customFormat="1" customHeight="1" ht="0.75" hidden="1">
      <c r="A229" s="1779"/>
      <c r="B229" s="1779"/>
      <c r="C229" s="369" t="s">
        <v>1240</v>
      </c>
      <c r="D229" s="2481"/>
      <c r="E229" s="2223"/>
      <c r="F229" s="2402"/>
      <c r="G229" s="400"/>
      <c r="H229" s="1500"/>
      <c r="I229" s="651"/>
      <c r="J229" s="571"/>
      <c r="K229" s="1500"/>
      <c r="L229" s="214"/>
      <c r="M229" s="341"/>
      <c r="N229" s="334"/>
      <c r="O229" s="1624"/>
      <c r="P229" s="1624"/>
      <c r="AH229" s="1631">
        <v>0</v>
      </c>
    </row>
    <row s="1635" customFormat="1" customHeight="1" ht="18.75" hidden="1">
      <c r="A230" s="1779" t="s">
        <v>204</v>
      </c>
      <c r="B230" s="1779" t="s">
        <v>205</v>
      </c>
      <c r="C230" s="369"/>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59"/>
      <c r="I230" s="1738"/>
      <c r="J230" s="1772"/>
      <c r="K230" s="1777"/>
      <c r="L230" s="1859" t="s">
        <v>311</v>
      </c>
      <c r="M230" s="341"/>
      <c r="N230" s="334"/>
      <c r="O230" s="1624"/>
      <c r="P230" s="1624"/>
      <c r="AH230" s="1631">
        <v>0</v>
      </c>
    </row>
    <row s="1635" customFormat="1" customHeight="1" ht="18.75" hidden="1">
      <c r="A231" s="1779"/>
      <c r="B231" s="1779"/>
      <c r="C231" s="369" t="s">
        <v>1233</v>
      </c>
      <c r="D231" s="2481"/>
      <c r="E231" s="2223"/>
      <c r="F231" s="2402"/>
      <c r="G231" s="2446"/>
      <c r="H231" s="1500"/>
      <c r="I231" s="651" t="s">
        <v>1232</v>
      </c>
      <c r="J231" s="571"/>
      <c r="K231" s="1500"/>
      <c r="L231" s="214"/>
      <c r="M231" s="341"/>
      <c r="N231" s="334"/>
      <c r="O231" s="1624"/>
      <c r="P231" s="1624"/>
      <c r="AH231" s="1631">
        <v>0</v>
      </c>
    </row>
    <row s="1635" customFormat="1" customHeight="1" ht="0.75" hidden="1">
      <c r="A232" s="1779"/>
      <c r="B232" s="1779"/>
      <c r="C232" s="369" t="s">
        <v>1240</v>
      </c>
      <c r="D232" s="2481"/>
      <c r="E232" s="2223"/>
      <c r="F232" s="2402"/>
      <c r="G232" s="400"/>
      <c r="H232" s="1500"/>
      <c r="I232" s="651"/>
      <c r="J232" s="571"/>
      <c r="K232" s="1500"/>
      <c r="L232" s="214"/>
      <c r="M232" s="341"/>
      <c r="N232" s="334"/>
      <c r="O232" s="1624"/>
      <c r="P232" s="1624"/>
      <c r="AH232" s="1631">
        <v>0</v>
      </c>
    </row>
    <row s="1635" customFormat="1" customHeight="1" ht="18.75" hidden="1">
      <c r="A233" s="1779" t="s">
        <v>210</v>
      </c>
      <c r="B233" s="1779" t="s">
        <v>211</v>
      </c>
      <c r="C233" s="369"/>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86"/>
      <c r="I233" s="1738"/>
      <c r="J233" s="1772"/>
      <c r="K233" s="1777"/>
      <c r="L233" s="1986" t="s">
        <v>311</v>
      </c>
      <c r="M233" s="341"/>
      <c r="N233" s="334"/>
      <c r="O233" s="1624"/>
      <c r="P233" s="1624"/>
      <c r="AH233" s="1631">
        <v>0</v>
      </c>
    </row>
    <row s="1635" customFormat="1" customHeight="1" ht="18.75" hidden="1">
      <c r="A234" s="1779"/>
      <c r="B234" s="1779"/>
      <c r="C234" s="369" t="s">
        <v>1233</v>
      </c>
      <c r="D234" s="2481"/>
      <c r="E234" s="2223"/>
      <c r="F234" s="2402"/>
      <c r="G234" s="2446"/>
      <c r="H234" s="1500"/>
      <c r="I234" s="651" t="s">
        <v>1232</v>
      </c>
      <c r="J234" s="571"/>
      <c r="K234" s="1500"/>
      <c r="L234" s="214"/>
      <c r="M234" s="341"/>
      <c r="N234" s="334"/>
      <c r="O234" s="1624"/>
      <c r="P234" s="1624"/>
      <c r="AH234" s="1631">
        <v>0</v>
      </c>
    </row>
    <row s="1635" customFormat="1" customHeight="1" ht="0.75" hidden="1">
      <c r="A235" s="1779"/>
      <c r="B235" s="1779"/>
      <c r="C235" s="369" t="s">
        <v>1240</v>
      </c>
      <c r="D235" s="2481"/>
      <c r="E235" s="2223"/>
      <c r="F235" s="2402"/>
      <c r="G235" s="400"/>
      <c r="H235" s="1500"/>
      <c r="I235" s="651"/>
      <c r="J235" s="571"/>
      <c r="K235" s="1500"/>
      <c r="L235" s="214"/>
      <c r="M235" s="341"/>
      <c r="N235" s="334"/>
      <c r="O235" s="1624"/>
      <c r="P235" s="1624"/>
      <c r="AH235" s="1631">
        <v>0</v>
      </c>
    </row>
    <row s="1635" customFormat="1" customHeight="1" ht="18.75" hidden="1">
      <c r="A236" s="1779" t="s">
        <v>230</v>
      </c>
      <c r="B236" s="1779" t="s">
        <v>231</v>
      </c>
      <c r="C236" s="369"/>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59"/>
      <c r="I236" s="1738"/>
      <c r="J236" s="1772"/>
      <c r="K236" s="1777"/>
      <c r="L236" s="1859" t="s">
        <v>311</v>
      </c>
      <c r="M236" s="341"/>
      <c r="N236" s="334"/>
      <c r="O236" s="1624"/>
      <c r="P236" s="1624"/>
      <c r="AH236" s="1631">
        <v>0</v>
      </c>
    </row>
    <row s="1635" customFormat="1" customHeight="1" ht="18.75" hidden="1">
      <c r="A237" s="1779"/>
      <c r="B237" s="1779"/>
      <c r="C237" s="369" t="s">
        <v>1233</v>
      </c>
      <c r="D237" s="2481"/>
      <c r="E237" s="2223"/>
      <c r="F237" s="2402"/>
      <c r="G237" s="2446"/>
      <c r="H237" s="1500"/>
      <c r="I237" s="651" t="s">
        <v>1232</v>
      </c>
      <c r="J237" s="571"/>
      <c r="K237" s="1500"/>
      <c r="L237" s="214"/>
      <c r="M237" s="341"/>
      <c r="N237" s="334"/>
      <c r="O237" s="1624"/>
      <c r="P237" s="1624"/>
      <c r="AH237" s="1631">
        <v>0</v>
      </c>
    </row>
    <row s="1635" customFormat="1" customHeight="1" ht="0.75" hidden="1">
      <c r="A238" s="1779"/>
      <c r="B238" s="1779"/>
      <c r="C238" s="369" t="s">
        <v>1240</v>
      </c>
      <c r="D238" s="2481"/>
      <c r="E238" s="2223"/>
      <c r="F238" s="2402"/>
      <c r="G238" s="400"/>
      <c r="H238" s="1500"/>
      <c r="I238" s="651"/>
      <c r="J238" s="571"/>
      <c r="K238" s="1500"/>
      <c r="L238" s="214"/>
      <c r="M238" s="341"/>
      <c r="N238" s="334"/>
      <c r="O238" s="1624"/>
      <c r="P238" s="1624"/>
      <c r="AH238" s="1631">
        <v>0</v>
      </c>
    </row>
    <row s="1635" customFormat="1" customHeight="1" ht="18.75" hidden="1">
      <c r="A239" s="1779" t="s">
        <v>235</v>
      </c>
      <c r="B239" s="1779" t="s">
        <v>236</v>
      </c>
      <c r="C239" s="369"/>
      <c r="D239" s="2481"/>
      <c r="E239" s="2223"/>
      <c r="F239" s="2402" t="str">
        <f>INDEX(PT_DIFFERENTIATION_VTAR,MATCH(A239,PT_DIFFERENTIATION_VTAR_ID,0))</f>
        <v>Тариф на техническую воду</v>
      </c>
      <c r="G239" s="2446" t="str">
        <f>INDEX(PT_DIFFERENTIATION_NTAR,MATCH(B239,PT_DIFFERENTIATION_NTAR_ID,0))</f>
        <v/>
      </c>
      <c r="H239" s="1859"/>
      <c r="I239" s="1738"/>
      <c r="J239" s="1772"/>
      <c r="K239" s="1777"/>
      <c r="L239" s="1859" t="s">
        <v>311</v>
      </c>
      <c r="M239" s="341"/>
      <c r="N239" s="334"/>
      <c r="O239" s="1624"/>
      <c r="P239" s="1624"/>
      <c r="AH239" s="1631">
        <v>0</v>
      </c>
    </row>
    <row s="1635" customFormat="1" customHeight="1" ht="18.75" hidden="1">
      <c r="A240" s="1779"/>
      <c r="B240" s="1779"/>
      <c r="C240" s="369" t="s">
        <v>1233</v>
      </c>
      <c r="D240" s="2481"/>
      <c r="E240" s="2223"/>
      <c r="F240" s="2402"/>
      <c r="G240" s="2446"/>
      <c r="H240" s="1500"/>
      <c r="I240" s="651" t="s">
        <v>1232</v>
      </c>
      <c r="J240" s="571"/>
      <c r="K240" s="1500"/>
      <c r="L240" s="214"/>
      <c r="M240" s="341"/>
      <c r="N240" s="334"/>
      <c r="O240" s="1624"/>
      <c r="P240" s="1624"/>
      <c r="AH240" s="1631">
        <v>0</v>
      </c>
    </row>
    <row s="1635" customFormat="1" customHeight="1" ht="0.75" hidden="1">
      <c r="A241" s="1779"/>
      <c r="B241" s="1779"/>
      <c r="C241" s="369" t="s">
        <v>1240</v>
      </c>
      <c r="D241" s="2481"/>
      <c r="E241" s="2223"/>
      <c r="F241" s="2402"/>
      <c r="G241" s="400"/>
      <c r="H241" s="1500"/>
      <c r="I241" s="651"/>
      <c r="J241" s="571"/>
      <c r="K241" s="1500"/>
      <c r="L241" s="214"/>
      <c r="M241" s="341"/>
      <c r="N241" s="334"/>
      <c r="O241" s="1624"/>
      <c r="P241" s="1624"/>
      <c r="AH241" s="1631">
        <v>0</v>
      </c>
    </row>
    <row s="1635" customFormat="1" customHeight="1" ht="18.75" hidden="1">
      <c r="A242" s="1779" t="s">
        <v>240</v>
      </c>
      <c r="B242" s="1779" t="s">
        <v>241</v>
      </c>
      <c r="C242" s="369"/>
      <c r="D242" s="2481"/>
      <c r="E242" s="2223"/>
      <c r="F242" s="2402" t="str">
        <f>INDEX(PT_DIFFERENTIATION_VTAR,MATCH(A242,PT_DIFFERENTIATION_VTAR_ID,0))</f>
        <v>Тариф на транспортировку воды</v>
      </c>
      <c r="G242" s="2446" t="str">
        <f>INDEX(PT_DIFFERENTIATION_NTAR,MATCH(B242,PT_DIFFERENTIATION_NTAR_ID,0))</f>
        <v/>
      </c>
      <c r="H242" s="1859"/>
      <c r="I242" s="1738"/>
      <c r="J242" s="1772"/>
      <c r="K242" s="1777"/>
      <c r="L242" s="1859" t="s">
        <v>311</v>
      </c>
      <c r="M242" s="341"/>
      <c r="N242" s="334"/>
      <c r="O242" s="1624"/>
      <c r="P242" s="1624"/>
      <c r="AH242" s="1631">
        <v>0</v>
      </c>
    </row>
    <row s="1635" customFormat="1" customHeight="1" ht="18.75" hidden="1">
      <c r="A243" s="1779"/>
      <c r="B243" s="1779"/>
      <c r="C243" s="369" t="s">
        <v>1233</v>
      </c>
      <c r="D243" s="2481"/>
      <c r="E243" s="2223"/>
      <c r="F243" s="2402"/>
      <c r="G243" s="2446"/>
      <c r="H243" s="1500"/>
      <c r="I243" s="651" t="s">
        <v>1232</v>
      </c>
      <c r="J243" s="571"/>
      <c r="K243" s="1500"/>
      <c r="L243" s="214"/>
      <c r="M243" s="341"/>
      <c r="N243" s="334"/>
      <c r="O243" s="1624"/>
      <c r="P243" s="1624"/>
      <c r="AH243" s="1631">
        <v>0</v>
      </c>
    </row>
    <row s="1635" customFormat="1" customHeight="1" ht="0.75" hidden="1">
      <c r="A244" s="1779"/>
      <c r="B244" s="1779"/>
      <c r="C244" s="369" t="s">
        <v>1240</v>
      </c>
      <c r="D244" s="2481"/>
      <c r="E244" s="2223"/>
      <c r="F244" s="2402"/>
      <c r="G244" s="400"/>
      <c r="H244" s="1500"/>
      <c r="I244" s="651"/>
      <c r="J244" s="571"/>
      <c r="K244" s="1500"/>
      <c r="L244" s="214"/>
      <c r="M244" s="341"/>
      <c r="N244" s="334"/>
      <c r="O244" s="1624"/>
      <c r="P244" s="1624"/>
      <c r="AH244" s="1631">
        <v>0</v>
      </c>
    </row>
    <row s="1635" customFormat="1" customHeight="1" ht="18.75" hidden="1">
      <c r="A245" s="1779" t="s">
        <v>245</v>
      </c>
      <c r="B245" s="1779" t="s">
        <v>246</v>
      </c>
      <c r="C245" s="369"/>
      <c r="D245" s="2481"/>
      <c r="E245" s="2223"/>
      <c r="F245" s="2402" t="str">
        <f>INDEX(PT_DIFFERENTIATION_VTAR,MATCH(A245,PT_DIFFERENTIATION_VTAR_ID,0))</f>
        <v>Тариф на подвоз воды</v>
      </c>
      <c r="G245" s="2446" t="str">
        <f>INDEX(PT_DIFFERENTIATION_NTAR,MATCH(B245,PT_DIFFERENTIATION_NTAR_ID,0))</f>
        <v/>
      </c>
      <c r="H245" s="1859"/>
      <c r="I245" s="1738"/>
      <c r="J245" s="1772"/>
      <c r="K245" s="1777"/>
      <c r="L245" s="1859" t="s">
        <v>311</v>
      </c>
      <c r="M245" s="341"/>
      <c r="N245" s="334"/>
      <c r="O245" s="1624"/>
      <c r="P245" s="1624"/>
      <c r="AH245" s="1631">
        <v>0</v>
      </c>
    </row>
    <row s="1635" customFormat="1" customHeight="1" ht="18.75" hidden="1">
      <c r="A246" s="1779"/>
      <c r="B246" s="1779"/>
      <c r="C246" s="369" t="s">
        <v>1233</v>
      </c>
      <c r="D246" s="2481"/>
      <c r="E246" s="2223"/>
      <c r="F246" s="2402"/>
      <c r="G246" s="2446"/>
      <c r="H246" s="1500"/>
      <c r="I246" s="651" t="s">
        <v>1232</v>
      </c>
      <c r="J246" s="571"/>
      <c r="K246" s="1500"/>
      <c r="L246" s="214"/>
      <c r="M246" s="341"/>
      <c r="N246" s="334"/>
      <c r="O246" s="1624"/>
      <c r="P246" s="1624"/>
      <c r="AH246" s="1631">
        <v>0</v>
      </c>
    </row>
    <row s="1635" customFormat="1" customHeight="1" ht="0.75" hidden="1">
      <c r="A247" s="1779"/>
      <c r="B247" s="1779"/>
      <c r="C247" s="369" t="s">
        <v>1240</v>
      </c>
      <c r="D247" s="2481"/>
      <c r="E247" s="2223"/>
      <c r="F247" s="2402"/>
      <c r="G247" s="400"/>
      <c r="H247" s="1500"/>
      <c r="I247" s="651"/>
      <c r="J247" s="571"/>
      <c r="K247" s="1500"/>
      <c r="L247" s="214"/>
      <c r="M247" s="341"/>
      <c r="N247" s="334"/>
      <c r="O247" s="1624"/>
      <c r="P247" s="1624"/>
      <c r="AH247" s="1631">
        <v>0</v>
      </c>
    </row>
    <row s="1635" customFormat="1" customHeight="1" ht="18.75" hidden="1">
      <c r="A248" s="1779" t="s">
        <v>250</v>
      </c>
      <c r="B248" s="1779" t="s">
        <v>251</v>
      </c>
      <c r="C248" s="369"/>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59"/>
      <c r="I248" s="1738"/>
      <c r="J248" s="1772"/>
      <c r="K248" s="1777"/>
      <c r="L248" s="1859" t="s">
        <v>311</v>
      </c>
      <c r="M248" s="341"/>
      <c r="N248" s="334"/>
      <c r="O248" s="1624"/>
      <c r="P248" s="1624"/>
      <c r="AH248" s="1631">
        <v>0</v>
      </c>
    </row>
    <row s="1635" customFormat="1" customHeight="1" ht="18.75" hidden="1">
      <c r="A249" s="1779"/>
      <c r="B249" s="1779"/>
      <c r="C249" s="369" t="s">
        <v>1233</v>
      </c>
      <c r="D249" s="2481"/>
      <c r="E249" s="2223"/>
      <c r="F249" s="2402"/>
      <c r="G249" s="2446"/>
      <c r="H249" s="1500"/>
      <c r="I249" s="651" t="s">
        <v>1232</v>
      </c>
      <c r="J249" s="571"/>
      <c r="K249" s="1500"/>
      <c r="L249" s="214"/>
      <c r="M249" s="341"/>
      <c r="N249" s="334"/>
      <c r="O249" s="1624"/>
      <c r="P249" s="1624"/>
      <c r="AH249" s="1631">
        <v>0</v>
      </c>
    </row>
    <row s="1635" customFormat="1" customHeight="1" ht="0.75" hidden="1">
      <c r="A250" s="1779"/>
      <c r="B250" s="1779"/>
      <c r="C250" s="369" t="s">
        <v>1240</v>
      </c>
      <c r="D250" s="2481"/>
      <c r="E250" s="2223"/>
      <c r="F250" s="2402"/>
      <c r="G250" s="400"/>
      <c r="H250" s="1500"/>
      <c r="I250" s="651"/>
      <c r="J250" s="571"/>
      <c r="K250" s="1500"/>
      <c r="L250" s="214"/>
      <c r="M250" s="341"/>
      <c r="N250" s="334"/>
      <c r="O250" s="1624"/>
      <c r="P250" s="1624"/>
      <c r="AH250" s="1631">
        <v>0</v>
      </c>
    </row>
    <row s="1635" customFormat="1" customHeight="1" ht="18.75" hidden="1">
      <c r="A251" s="1779" t="s">
        <v>255</v>
      </c>
      <c r="B251" s="1779" t="s">
        <v>256</v>
      </c>
      <c r="C251" s="369"/>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59"/>
      <c r="I251" s="1738"/>
      <c r="J251" s="1772"/>
      <c r="K251" s="1777"/>
      <c r="L251" s="1859" t="s">
        <v>311</v>
      </c>
      <c r="M251" s="341"/>
      <c r="N251" s="334"/>
      <c r="O251" s="1624"/>
      <c r="P251" s="1624"/>
      <c r="AH251" s="1631">
        <v>0</v>
      </c>
    </row>
    <row s="1635" customFormat="1" customHeight="1" ht="18.75" hidden="1">
      <c r="A252" s="1779"/>
      <c r="B252" s="1779"/>
      <c r="C252" s="369" t="s">
        <v>1233</v>
      </c>
      <c r="D252" s="2481"/>
      <c r="E252" s="2223"/>
      <c r="F252" s="2402"/>
      <c r="G252" s="2446"/>
      <c r="H252" s="1500"/>
      <c r="I252" s="651" t="s">
        <v>1232</v>
      </c>
      <c r="J252" s="571"/>
      <c r="K252" s="1500"/>
      <c r="L252" s="214"/>
      <c r="M252" s="341"/>
      <c r="N252" s="334"/>
      <c r="O252" s="1624"/>
      <c r="P252" s="1624"/>
      <c r="AH252" s="1631">
        <v>0</v>
      </c>
    </row>
    <row s="1635" customFormat="1" customHeight="1" ht="0.75" hidden="1">
      <c r="A253" s="1779"/>
      <c r="B253" s="1779"/>
      <c r="C253" s="369" t="s">
        <v>1240</v>
      </c>
      <c r="D253" s="2481"/>
      <c r="E253" s="2223"/>
      <c r="F253" s="2402"/>
      <c r="G253" s="400"/>
      <c r="H253" s="1500"/>
      <c r="I253" s="651"/>
      <c r="J253" s="571"/>
      <c r="K253" s="1500"/>
      <c r="L253" s="214"/>
      <c r="M253" s="341"/>
      <c r="N253" s="334"/>
      <c r="O253" s="1624"/>
      <c r="P253" s="1624"/>
      <c r="AH253" s="1631">
        <v>0</v>
      </c>
    </row>
    <row s="1635" customFormat="1" customHeight="1" ht="18.75" hidden="1">
      <c r="A254" s="1779" t="s">
        <v>260</v>
      </c>
      <c r="B254" s="1779" t="s">
        <v>261</v>
      </c>
      <c r="C254" s="369"/>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59"/>
      <c r="I254" s="1738"/>
      <c r="J254" s="1772"/>
      <c r="K254" s="1777"/>
      <c r="L254" s="1859" t="s">
        <v>311</v>
      </c>
      <c r="M254" s="341"/>
      <c r="N254" s="334"/>
      <c r="O254" s="1624"/>
      <c r="P254" s="1624"/>
      <c r="AH254" s="1631">
        <v>0</v>
      </c>
    </row>
    <row s="1635" customFormat="1" customHeight="1" ht="18.75" hidden="1">
      <c r="A255" s="1779"/>
      <c r="B255" s="1779"/>
      <c r="C255" s="369" t="s">
        <v>1233</v>
      </c>
      <c r="D255" s="2481"/>
      <c r="E255" s="2223"/>
      <c r="F255" s="2402"/>
      <c r="G255" s="2446"/>
      <c r="H255" s="1500"/>
      <c r="I255" s="651" t="s">
        <v>1232</v>
      </c>
      <c r="J255" s="571"/>
      <c r="K255" s="1500"/>
      <c r="L255" s="214"/>
      <c r="M255" s="341"/>
      <c r="N255" s="334"/>
      <c r="O255" s="1624"/>
      <c r="P255" s="1624"/>
      <c r="AH255" s="1631">
        <v>0</v>
      </c>
    </row>
    <row s="1635" customFormat="1" customHeight="1" ht="0.75" hidden="1">
      <c r="A256" s="1779"/>
      <c r="B256" s="1779"/>
      <c r="C256" s="369" t="s">
        <v>1240</v>
      </c>
      <c r="D256" s="2481"/>
      <c r="E256" s="2223"/>
      <c r="F256" s="2402"/>
      <c r="G256" s="400"/>
      <c r="H256" s="1500"/>
      <c r="I256" s="651"/>
      <c r="J256" s="571"/>
      <c r="K256" s="1500"/>
      <c r="L256" s="214"/>
      <c r="M256" s="341"/>
      <c r="N256" s="334"/>
      <c r="O256" s="1624"/>
      <c r="P256" s="1624"/>
      <c r="AH256" s="1631">
        <v>0</v>
      </c>
    </row>
    <row s="1635" customFormat="1" customHeight="1" ht="18.75" hidden="1">
      <c r="A257" s="1779" t="s">
        <v>265</v>
      </c>
      <c r="B257" s="1779" t="s">
        <v>266</v>
      </c>
      <c r="C257" s="369"/>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59"/>
      <c r="I257" s="1738"/>
      <c r="J257" s="1772"/>
      <c r="K257" s="1777"/>
      <c r="L257" s="1859" t="s">
        <v>311</v>
      </c>
      <c r="M257" s="341"/>
      <c r="N257" s="334"/>
      <c r="O257" s="1624"/>
      <c r="P257" s="1624"/>
      <c r="AH257" s="1631">
        <v>0</v>
      </c>
    </row>
    <row s="1635" customFormat="1" customHeight="1" ht="18.75" hidden="1">
      <c r="A258" s="1779"/>
      <c r="B258" s="1779"/>
      <c r="C258" s="369" t="s">
        <v>1233</v>
      </c>
      <c r="D258" s="2481"/>
      <c r="E258" s="2223"/>
      <c r="F258" s="2402"/>
      <c r="G258" s="2446"/>
      <c r="H258" s="1500"/>
      <c r="I258" s="651" t="s">
        <v>1232</v>
      </c>
      <c r="J258" s="571"/>
      <c r="K258" s="1500"/>
      <c r="L258" s="214"/>
      <c r="M258" s="341"/>
      <c r="N258" s="334"/>
      <c r="O258" s="1624"/>
      <c r="P258" s="1624"/>
      <c r="AH258" s="1631">
        <v>0</v>
      </c>
    </row>
    <row s="1635" customFormat="1" customHeight="1" ht="0.75" hidden="1">
      <c r="A259" s="1779"/>
      <c r="B259" s="1779"/>
      <c r="C259" s="369" t="s">
        <v>1240</v>
      </c>
      <c r="D259" s="2481"/>
      <c r="E259" s="2223"/>
      <c r="F259" s="2402"/>
      <c r="G259" s="400"/>
      <c r="H259" s="1500"/>
      <c r="I259" s="651"/>
      <c r="J259" s="571"/>
      <c r="K259" s="1500"/>
      <c r="L259" s="214"/>
      <c r="M259" s="341"/>
      <c r="N259" s="334"/>
      <c r="O259" s="1624"/>
      <c r="P259" s="1624"/>
      <c r="AH259" s="1631">
        <v>0</v>
      </c>
    </row>
    <row s="1635" customFormat="1" customHeight="1" ht="18.75" hidden="1">
      <c r="A260" s="1779" t="s">
        <v>270</v>
      </c>
      <c r="B260" s="1779" t="s">
        <v>271</v>
      </c>
      <c r="C260" s="369"/>
      <c r="D260" s="2481"/>
      <c r="E260" s="2223"/>
      <c r="F260" s="2402" t="str">
        <f>INDEX(PT_DIFFERENTIATION_VTAR,MATCH(A260,PT_DIFFERENTIATION_VTAR_ID,0))</f>
        <v>Тариф на водоотведение</v>
      </c>
      <c r="G260" s="2446" t="str">
        <f>INDEX(PT_DIFFERENTIATION_NTAR,MATCH(B260,PT_DIFFERENTIATION_NTAR_ID,0))</f>
        <v/>
      </c>
      <c r="H260" s="1859"/>
      <c r="I260" s="1738"/>
      <c r="J260" s="1772"/>
      <c r="K260" s="1777"/>
      <c r="L260" s="1859" t="s">
        <v>311</v>
      </c>
      <c r="M260" s="341"/>
      <c r="N260" s="334"/>
      <c r="O260" s="1624"/>
      <c r="P260" s="1624"/>
      <c r="AH260" s="1631">
        <v>0</v>
      </c>
    </row>
    <row s="1635" customFormat="1" customHeight="1" ht="18.75" hidden="1">
      <c r="A261" s="1779"/>
      <c r="B261" s="1779"/>
      <c r="C261" s="369" t="s">
        <v>1233</v>
      </c>
      <c r="D261" s="2481"/>
      <c r="E261" s="2223"/>
      <c r="F261" s="2402"/>
      <c r="G261" s="2446"/>
      <c r="H261" s="1500"/>
      <c r="I261" s="651" t="s">
        <v>1232</v>
      </c>
      <c r="J261" s="571"/>
      <c r="K261" s="1500"/>
      <c r="L261" s="214"/>
      <c r="M261" s="341"/>
      <c r="N261" s="334"/>
      <c r="O261" s="1624"/>
      <c r="P261" s="1624"/>
      <c r="AH261" s="1631">
        <v>0</v>
      </c>
    </row>
    <row s="1635" customFormat="1" customHeight="1" ht="0.75" hidden="1">
      <c r="A262" s="1779"/>
      <c r="B262" s="1779"/>
      <c r="C262" s="369" t="s">
        <v>1240</v>
      </c>
      <c r="D262" s="2481"/>
      <c r="E262" s="2223"/>
      <c r="F262" s="2402"/>
      <c r="G262" s="400"/>
      <c r="H262" s="1500"/>
      <c r="I262" s="651"/>
      <c r="J262" s="571"/>
      <c r="K262" s="1500"/>
      <c r="L262" s="214"/>
      <c r="M262" s="341"/>
      <c r="N262" s="334"/>
      <c r="O262" s="1624"/>
      <c r="P262" s="1624"/>
      <c r="AH262" s="1631">
        <v>0</v>
      </c>
    </row>
    <row s="1635" customFormat="1" customHeight="1" ht="18.75" hidden="1">
      <c r="A263" s="1779" t="s">
        <v>275</v>
      </c>
      <c r="B263" s="1779" t="s">
        <v>276</v>
      </c>
      <c r="C263" s="369"/>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59"/>
      <c r="I263" s="1738"/>
      <c r="J263" s="1772"/>
      <c r="K263" s="1777"/>
      <c r="L263" s="1859" t="s">
        <v>311</v>
      </c>
      <c r="M263" s="341"/>
      <c r="N263" s="334"/>
      <c r="O263" s="1624"/>
      <c r="P263" s="1624"/>
      <c r="AH263" s="1631">
        <v>0</v>
      </c>
    </row>
    <row s="1635" customFormat="1" customHeight="1" ht="18.75" hidden="1">
      <c r="A264" s="1779"/>
      <c r="B264" s="1779"/>
      <c r="C264" s="369" t="s">
        <v>1233</v>
      </c>
      <c r="D264" s="2481"/>
      <c r="E264" s="2223"/>
      <c r="F264" s="2402"/>
      <c r="G264" s="2446"/>
      <c r="H264" s="1500"/>
      <c r="I264" s="651" t="s">
        <v>1232</v>
      </c>
      <c r="J264" s="571"/>
      <c r="K264" s="1500"/>
      <c r="L264" s="214"/>
      <c r="M264" s="341"/>
      <c r="N264" s="334"/>
      <c r="O264" s="1624"/>
      <c r="P264" s="1624"/>
      <c r="AH264" s="1631">
        <v>0</v>
      </c>
    </row>
    <row s="1635" customFormat="1" customHeight="1" ht="0.75" hidden="1">
      <c r="A265" s="1779"/>
      <c r="B265" s="1779"/>
      <c r="C265" s="369" t="s">
        <v>1240</v>
      </c>
      <c r="D265" s="2481"/>
      <c r="E265" s="2223"/>
      <c r="F265" s="2402"/>
      <c r="G265" s="400"/>
      <c r="H265" s="1500"/>
      <c r="I265" s="651"/>
      <c r="J265" s="571"/>
      <c r="K265" s="1500"/>
      <c r="L265" s="214"/>
      <c r="M265" s="341"/>
      <c r="N265" s="334"/>
      <c r="O265" s="1624"/>
      <c r="P265" s="1624"/>
      <c r="AH265" s="1631">
        <v>0</v>
      </c>
    </row>
    <row s="1635" customFormat="1" customHeight="1" ht="18.75" hidden="1">
      <c r="A266" s="1779" t="s">
        <v>280</v>
      </c>
      <c r="B266" s="1779" t="s">
        <v>281</v>
      </c>
      <c r="C266" s="369"/>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59"/>
      <c r="I266" s="1738"/>
      <c r="J266" s="1772"/>
      <c r="K266" s="1777"/>
      <c r="L266" s="1859" t="s">
        <v>311</v>
      </c>
      <c r="M266" s="341"/>
      <c r="N266" s="334"/>
      <c r="O266" s="1624"/>
      <c r="P266" s="1624"/>
      <c r="AH266" s="1631">
        <v>0</v>
      </c>
    </row>
    <row s="1635" customFormat="1" customHeight="1" ht="18.75" hidden="1">
      <c r="A267" s="1779"/>
      <c r="B267" s="1779"/>
      <c r="C267" s="369" t="s">
        <v>1233</v>
      </c>
      <c r="D267" s="2481"/>
      <c r="E267" s="2223"/>
      <c r="F267" s="2402"/>
      <c r="G267" s="2446"/>
      <c r="H267" s="1500"/>
      <c r="I267" s="651" t="s">
        <v>1232</v>
      </c>
      <c r="J267" s="571"/>
      <c r="K267" s="1500"/>
      <c r="L267" s="214"/>
      <c r="M267" s="341"/>
      <c r="N267" s="334"/>
      <c r="O267" s="1624"/>
      <c r="P267" s="1624"/>
      <c r="AH267" s="1631">
        <v>0</v>
      </c>
    </row>
    <row s="1635" customFormat="1" customHeight="1" ht="1.05">
      <c r="A268" s="1779"/>
      <c r="B268" s="1779"/>
      <c r="C268" s="369" t="s">
        <v>1240</v>
      </c>
      <c r="D268" s="2481"/>
      <c r="E268" s="2223"/>
      <c r="F268" s="2402"/>
      <c r="G268" s="400"/>
      <c r="H268" s="1500"/>
      <c r="I268" s="651"/>
      <c r="J268" s="571"/>
      <c r="K268" s="1500"/>
      <c r="L268" s="214"/>
      <c r="M268" s="341"/>
      <c r="N268" s="334"/>
      <c r="O268" s="1624"/>
      <c r="P268" s="1624"/>
      <c r="AH268" s="1631">
        <v>1</v>
      </c>
    </row>
    <row customHeight="1" ht="27.299999999999997">
      <c r="A269" s="1779"/>
      <c r="B269" s="1779"/>
      <c r="D269" s="376"/>
      <c r="E269" s="147" t="s">
        <v>93</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9"/>
      <c r="H269" s="2479"/>
      <c r="I269" s="2479"/>
      <c r="J269" s="2479"/>
      <c r="K269" s="2479"/>
      <c r="L269" s="2479"/>
      <c r="M269" s="297"/>
      <c r="N269" s="334"/>
      <c r="AH269" s="374">
        <v>26</v>
      </c>
    </row>
    <row s="1635" customFormat="1" customHeight="1" ht="60.75" hidden="1">
      <c r="A270" s="1779" t="s">
        <v>162</v>
      </c>
      <c r="B270" s="1779" t="s">
        <v>163</v>
      </c>
      <c r="C270" s="369"/>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59"/>
      <c r="I270" s="1738"/>
      <c r="J270" s="1772"/>
      <c r="K270" s="1777"/>
      <c r="L270" s="1859" t="s">
        <v>311</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1233</v>
      </c>
      <c r="D271" s="2481"/>
      <c r="E271" s="2223"/>
      <c r="F271" s="2402"/>
      <c r="G271" s="2446"/>
      <c r="H271" s="1500"/>
      <c r="I271" s="651" t="s">
        <v>1232</v>
      </c>
      <c r="J271" s="571"/>
      <c r="K271" s="1500"/>
      <c r="L271" s="214"/>
      <c r="M271" s="2189"/>
      <c r="N271" s="334"/>
      <c r="O271" s="1624"/>
      <c r="P271" s="1624"/>
      <c r="AH271" s="1631">
        <v>0</v>
      </c>
    </row>
    <row s="1635" customFormat="1" customHeight="1" ht="0.75" hidden="1">
      <c r="A272" s="1779"/>
      <c r="B272" s="1779"/>
      <c r="C272" s="369" t="s">
        <v>1240</v>
      </c>
      <c r="D272" s="2481"/>
      <c r="E272" s="2223"/>
      <c r="F272" s="2402"/>
      <c r="G272" s="400"/>
      <c r="H272" s="1500"/>
      <c r="I272" s="651"/>
      <c r="J272" s="571"/>
      <c r="K272" s="1500"/>
      <c r="L272" s="214"/>
      <c r="M272" s="2189"/>
      <c r="N272" s="334"/>
      <c r="O272" s="1624"/>
      <c r="P272" s="1624"/>
      <c r="AH272" s="1631">
        <v>0</v>
      </c>
    </row>
    <row s="1635" customFormat="1" customHeight="1" ht="45" hidden="1">
      <c r="A273" s="1779" t="s">
        <v>167</v>
      </c>
      <c r="B273" s="1779" t="s">
        <v>168</v>
      </c>
      <c r="C273" s="369"/>
      <c r="D273" s="2481"/>
      <c r="E273" s="2223"/>
      <c r="F273" s="2402" t="str">
        <f>INDEX(PT_DIFFERENTIATION_VTAR,MATCH(A273,PT_DIFFERENTIATION_VTAR_ID,0))</f>
        <v/>
      </c>
      <c r="G273" s="2446" t="str">
        <f>INDEX(PT_DIFFERENTIATION_NTAR,MATCH(B273,PT_DIFFERENTIATION_NTAR_ID,0))</f>
        <v/>
      </c>
      <c r="H273" s="1859"/>
      <c r="I273" s="1738"/>
      <c r="J273" s="1772"/>
      <c r="K273" s="1777"/>
      <c r="L273" s="1859" t="s">
        <v>311</v>
      </c>
      <c r="M273" s="2190"/>
      <c r="N273" s="334"/>
      <c r="O273" s="1624"/>
      <c r="P273" s="1624"/>
      <c r="AH273" s="1631">
        <v>0</v>
      </c>
    </row>
    <row s="1635" customFormat="1" customHeight="1" ht="18.75" hidden="1">
      <c r="A274" s="1779"/>
      <c r="B274" s="1779"/>
      <c r="C274" s="369" t="s">
        <v>1233</v>
      </c>
      <c r="D274" s="2481"/>
      <c r="E274" s="2223"/>
      <c r="F274" s="2402"/>
      <c r="G274" s="2446"/>
      <c r="H274" s="1500"/>
      <c r="I274" s="651" t="s">
        <v>1232</v>
      </c>
      <c r="J274" s="571"/>
      <c r="K274" s="1500"/>
      <c r="L274" s="214"/>
      <c r="M274" s="1858"/>
      <c r="N274" s="334"/>
      <c r="O274" s="1624"/>
      <c r="P274" s="1624"/>
      <c r="AH274" s="1631">
        <v>0</v>
      </c>
    </row>
    <row s="1635" customFormat="1" customHeight="1" ht="0.75" hidden="1">
      <c r="A275" s="1779"/>
      <c r="B275" s="1779"/>
      <c r="C275" s="369" t="s">
        <v>1240</v>
      </c>
      <c r="D275" s="2481"/>
      <c r="E275" s="2223"/>
      <c r="F275" s="2402"/>
      <c r="G275" s="400"/>
      <c r="H275" s="1500"/>
      <c r="I275" s="651"/>
      <c r="J275" s="571"/>
      <c r="K275" s="1500"/>
      <c r="L275" s="214"/>
      <c r="M275" s="341"/>
      <c r="N275" s="334"/>
      <c r="O275" s="1624"/>
      <c r="P275" s="1624"/>
      <c r="AH275" s="1631">
        <v>0</v>
      </c>
    </row>
    <row s="1635" customFormat="1" customHeight="1" ht="45" hidden="1">
      <c r="A276" s="1779" t="s">
        <v>174</v>
      </c>
      <c r="B276" s="1779" t="s">
        <v>175</v>
      </c>
      <c r="C276" s="369"/>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59"/>
      <c r="I276" s="1738"/>
      <c r="J276" s="1772"/>
      <c r="K276" s="1777"/>
      <c r="L276" s="1859" t="s">
        <v>311</v>
      </c>
      <c r="M276" s="341"/>
      <c r="N276" s="334"/>
      <c r="O276" s="1624"/>
      <c r="P276" s="1624"/>
      <c r="AH276" s="1631">
        <v>0</v>
      </c>
    </row>
    <row s="1635" customFormat="1" customHeight="1" ht="18.75" hidden="1">
      <c r="A277" s="1779"/>
      <c r="B277" s="1779"/>
      <c r="C277" s="369" t="s">
        <v>1233</v>
      </c>
      <c r="D277" s="2481"/>
      <c r="E277" s="2223"/>
      <c r="F277" s="2402"/>
      <c r="G277" s="2446"/>
      <c r="H277" s="1500"/>
      <c r="I277" s="651" t="s">
        <v>1232</v>
      </c>
      <c r="J277" s="571"/>
      <c r="K277" s="1500"/>
      <c r="L277" s="214"/>
      <c r="M277" s="341"/>
      <c r="N277" s="334"/>
      <c r="O277" s="1624"/>
      <c r="P277" s="1624"/>
      <c r="AH277" s="1631">
        <v>0</v>
      </c>
    </row>
    <row s="1635" customFormat="1" customHeight="1" ht="0.75" hidden="1">
      <c r="A278" s="1779"/>
      <c r="B278" s="1779"/>
      <c r="C278" s="369" t="s">
        <v>1240</v>
      </c>
      <c r="D278" s="2481"/>
      <c r="E278" s="2223"/>
      <c r="F278" s="2402"/>
      <c r="G278" s="400"/>
      <c r="H278" s="1500"/>
      <c r="I278" s="651"/>
      <c r="J278" s="571"/>
      <c r="K278" s="1500"/>
      <c r="L278" s="214"/>
      <c r="M278" s="341"/>
      <c r="N278" s="334"/>
      <c r="O278" s="1624"/>
      <c r="P278" s="1624"/>
      <c r="AH278" s="1631">
        <v>0</v>
      </c>
    </row>
    <row s="1635" customFormat="1" customHeight="1" ht="45" hidden="1">
      <c r="A279" s="1779" t="s">
        <v>180</v>
      </c>
      <c r="B279" s="1779" t="s">
        <v>181</v>
      </c>
      <c r="C279" s="369"/>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59"/>
      <c r="I279" s="1738"/>
      <c r="J279" s="1772"/>
      <c r="K279" s="1777"/>
      <c r="L279" s="1859" t="s">
        <v>311</v>
      </c>
      <c r="M279" s="341"/>
      <c r="N279" s="334"/>
      <c r="O279" s="1624"/>
      <c r="P279" s="1624"/>
      <c r="AH279" s="1631">
        <v>0</v>
      </c>
    </row>
    <row s="1635" customFormat="1" customHeight="1" ht="18.75" hidden="1">
      <c r="A280" s="1779"/>
      <c r="B280" s="1779"/>
      <c r="C280" s="369" t="s">
        <v>1233</v>
      </c>
      <c r="D280" s="2481"/>
      <c r="E280" s="2223"/>
      <c r="F280" s="2402"/>
      <c r="G280" s="2446"/>
      <c r="H280" s="1500"/>
      <c r="I280" s="651" t="s">
        <v>1232</v>
      </c>
      <c r="J280" s="571"/>
      <c r="K280" s="1500"/>
      <c r="L280" s="214"/>
      <c r="M280" s="341"/>
      <c r="N280" s="334"/>
      <c r="O280" s="1624"/>
      <c r="P280" s="1624"/>
      <c r="AH280" s="1631">
        <v>0</v>
      </c>
    </row>
    <row s="1635" customFormat="1" customHeight="1" ht="0.75" hidden="1">
      <c r="A281" s="1779"/>
      <c r="B281" s="1779"/>
      <c r="C281" s="369" t="s">
        <v>1240</v>
      </c>
      <c r="D281" s="2481"/>
      <c r="E281" s="2223"/>
      <c r="F281" s="2402"/>
      <c r="G281" s="400"/>
      <c r="H281" s="1500"/>
      <c r="I281" s="651"/>
      <c r="J281" s="571"/>
      <c r="K281" s="1500"/>
      <c r="L281" s="214"/>
      <c r="M281" s="341"/>
      <c r="N281" s="334"/>
      <c r="O281" s="1624"/>
      <c r="P281" s="1624"/>
      <c r="AH281" s="1631">
        <v>0</v>
      </c>
    </row>
    <row s="1635" customFormat="1" customHeight="1" ht="18.75" hidden="1">
      <c r="A282" s="1779" t="s">
        <v>186</v>
      </c>
      <c r="B282" s="1779" t="s">
        <v>187</v>
      </c>
      <c r="C282" s="369"/>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59"/>
      <c r="I282" s="1738"/>
      <c r="J282" s="1772"/>
      <c r="K282" s="1777"/>
      <c r="L282" s="1859" t="s">
        <v>311</v>
      </c>
      <c r="M282" s="341"/>
      <c r="N282" s="334"/>
      <c r="O282" s="1624"/>
      <c r="P282" s="1624"/>
      <c r="AH282" s="1631">
        <v>0</v>
      </c>
    </row>
    <row s="1635" customFormat="1" customHeight="1" ht="18.75" hidden="1">
      <c r="A283" s="1779"/>
      <c r="B283" s="1779"/>
      <c r="C283" s="369" t="s">
        <v>1233</v>
      </c>
      <c r="D283" s="2481"/>
      <c r="E283" s="2223"/>
      <c r="F283" s="2402"/>
      <c r="G283" s="2446"/>
      <c r="H283" s="1500"/>
      <c r="I283" s="651" t="s">
        <v>1232</v>
      </c>
      <c r="J283" s="571"/>
      <c r="K283" s="1500"/>
      <c r="L283" s="214"/>
      <c r="M283" s="341"/>
      <c r="N283" s="334"/>
      <c r="O283" s="1624"/>
      <c r="P283" s="1624"/>
      <c r="AH283" s="1631">
        <v>0</v>
      </c>
    </row>
    <row s="1635" customFormat="1" customHeight="1" ht="0.75" hidden="1">
      <c r="A284" s="1779"/>
      <c r="B284" s="1779"/>
      <c r="C284" s="369" t="s">
        <v>1240</v>
      </c>
      <c r="D284" s="2481"/>
      <c r="E284" s="2223"/>
      <c r="F284" s="2402"/>
      <c r="G284" s="400"/>
      <c r="H284" s="1500"/>
      <c r="I284" s="651"/>
      <c r="J284" s="571"/>
      <c r="K284" s="1500"/>
      <c r="L284" s="214"/>
      <c r="M284" s="341"/>
      <c r="N284" s="334"/>
      <c r="O284" s="1624"/>
      <c r="P284" s="1624"/>
      <c r="AH284" s="1631">
        <v>0</v>
      </c>
    </row>
    <row s="1635" customFormat="1" customHeight="1" ht="18.75" hidden="1">
      <c r="A285" s="1779" t="s">
        <v>192</v>
      </c>
      <c r="B285" s="1779" t="s">
        <v>193</v>
      </c>
      <c r="C285" s="369"/>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59"/>
      <c r="I285" s="1738"/>
      <c r="J285" s="1772"/>
      <c r="K285" s="1777"/>
      <c r="L285" s="1859" t="s">
        <v>311</v>
      </c>
      <c r="M285" s="341"/>
      <c r="N285" s="334"/>
      <c r="O285" s="1624"/>
      <c r="P285" s="1624"/>
      <c r="AH285" s="1631">
        <v>0</v>
      </c>
    </row>
    <row s="1635" customFormat="1" customHeight="1" ht="18.75" hidden="1">
      <c r="A286" s="1779"/>
      <c r="B286" s="1779"/>
      <c r="C286" s="369" t="s">
        <v>1233</v>
      </c>
      <c r="D286" s="2481"/>
      <c r="E286" s="2223"/>
      <c r="F286" s="2402"/>
      <c r="G286" s="2446"/>
      <c r="H286" s="1500"/>
      <c r="I286" s="651" t="s">
        <v>1232</v>
      </c>
      <c r="J286" s="571"/>
      <c r="K286" s="1500"/>
      <c r="L286" s="214"/>
      <c r="M286" s="341"/>
      <c r="N286" s="334"/>
      <c r="O286" s="1624"/>
      <c r="P286" s="1624"/>
      <c r="AH286" s="1631">
        <v>0</v>
      </c>
    </row>
    <row s="1635" customFormat="1" customHeight="1" ht="0.75" hidden="1">
      <c r="A287" s="1779"/>
      <c r="B287" s="1779"/>
      <c r="C287" s="369" t="s">
        <v>1240</v>
      </c>
      <c r="D287" s="2481"/>
      <c r="E287" s="2223"/>
      <c r="F287" s="2402"/>
      <c r="G287" s="400"/>
      <c r="H287" s="1500"/>
      <c r="I287" s="651"/>
      <c r="J287" s="571"/>
      <c r="K287" s="1500"/>
      <c r="L287" s="214"/>
      <c r="M287" s="341"/>
      <c r="N287" s="334"/>
      <c r="O287" s="1624"/>
      <c r="P287" s="1624"/>
      <c r="AH287" s="1631">
        <v>0</v>
      </c>
    </row>
    <row s="1635" customFormat="1" customHeight="1" ht="18.75" hidden="1">
      <c r="A288" s="1779" t="s">
        <v>198</v>
      </c>
      <c r="B288" s="1779" t="s">
        <v>199</v>
      </c>
      <c r="C288" s="369"/>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59"/>
      <c r="I288" s="1738"/>
      <c r="J288" s="1772"/>
      <c r="K288" s="1777"/>
      <c r="L288" s="1859" t="s">
        <v>311</v>
      </c>
      <c r="M288" s="341"/>
      <c r="N288" s="334"/>
      <c r="O288" s="1624"/>
      <c r="P288" s="1624"/>
      <c r="AH288" s="1631">
        <v>0</v>
      </c>
    </row>
    <row s="1635" customFormat="1" customHeight="1" ht="18.75" hidden="1">
      <c r="A289" s="1779"/>
      <c r="B289" s="1779"/>
      <c r="C289" s="369" t="s">
        <v>1233</v>
      </c>
      <c r="D289" s="2481"/>
      <c r="E289" s="2223"/>
      <c r="F289" s="2402"/>
      <c r="G289" s="2446"/>
      <c r="H289" s="1500"/>
      <c r="I289" s="651" t="s">
        <v>1232</v>
      </c>
      <c r="J289" s="571"/>
      <c r="K289" s="1500"/>
      <c r="L289" s="214"/>
      <c r="M289" s="341"/>
      <c r="N289" s="334"/>
      <c r="O289" s="1624"/>
      <c r="P289" s="1624"/>
      <c r="AH289" s="1631">
        <v>0</v>
      </c>
    </row>
    <row s="1635" customFormat="1" customHeight="1" ht="0.75" hidden="1">
      <c r="A290" s="1779"/>
      <c r="B290" s="1779"/>
      <c r="C290" s="369" t="s">
        <v>1240</v>
      </c>
      <c r="D290" s="2481"/>
      <c r="E290" s="2223"/>
      <c r="F290" s="2402"/>
      <c r="G290" s="400"/>
      <c r="H290" s="1500"/>
      <c r="I290" s="651"/>
      <c r="J290" s="571"/>
      <c r="K290" s="1500"/>
      <c r="L290" s="214"/>
      <c r="M290" s="341"/>
      <c r="N290" s="334"/>
      <c r="O290" s="1624"/>
      <c r="P290" s="1624"/>
      <c r="AH290" s="1631">
        <v>0</v>
      </c>
    </row>
    <row s="1635" customFormat="1" customHeight="1" ht="18.75" hidden="1">
      <c r="A291" s="1779" t="s">
        <v>204</v>
      </c>
      <c r="B291" s="1779" t="s">
        <v>205</v>
      </c>
      <c r="C291" s="369"/>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59"/>
      <c r="I291" s="1738"/>
      <c r="J291" s="1772"/>
      <c r="K291" s="1777"/>
      <c r="L291" s="1859" t="s">
        <v>311</v>
      </c>
      <c r="M291" s="341"/>
      <c r="N291" s="334"/>
      <c r="O291" s="1624"/>
      <c r="P291" s="1624"/>
      <c r="AH291" s="1631">
        <v>0</v>
      </c>
    </row>
    <row s="1635" customFormat="1" customHeight="1" ht="18.75" hidden="1">
      <c r="A292" s="1779"/>
      <c r="B292" s="1779"/>
      <c r="C292" s="369" t="s">
        <v>1233</v>
      </c>
      <c r="D292" s="2481"/>
      <c r="E292" s="2223"/>
      <c r="F292" s="2402"/>
      <c r="G292" s="2446"/>
      <c r="H292" s="1500"/>
      <c r="I292" s="651" t="s">
        <v>1232</v>
      </c>
      <c r="J292" s="571"/>
      <c r="K292" s="1500"/>
      <c r="L292" s="214"/>
      <c r="M292" s="341"/>
      <c r="N292" s="334"/>
      <c r="O292" s="1624"/>
      <c r="P292" s="1624"/>
      <c r="AH292" s="1631">
        <v>0</v>
      </c>
    </row>
    <row s="1635" customFormat="1" customHeight="1" ht="0.75" hidden="1">
      <c r="A293" s="1779"/>
      <c r="B293" s="1779"/>
      <c r="C293" s="369" t="s">
        <v>1240</v>
      </c>
      <c r="D293" s="2481"/>
      <c r="E293" s="2223"/>
      <c r="F293" s="2402"/>
      <c r="G293" s="400"/>
      <c r="H293" s="1500"/>
      <c r="I293" s="651"/>
      <c r="J293" s="571"/>
      <c r="K293" s="1500"/>
      <c r="L293" s="214"/>
      <c r="M293" s="341"/>
      <c r="N293" s="334"/>
      <c r="O293" s="1624"/>
      <c r="P293" s="1624"/>
      <c r="AH293" s="1631">
        <v>0</v>
      </c>
    </row>
    <row s="1635" customFormat="1" customHeight="1" ht="18.75" hidden="1">
      <c r="A294" s="1779" t="s">
        <v>210</v>
      </c>
      <c r="B294" s="1779" t="s">
        <v>211</v>
      </c>
      <c r="C294" s="369"/>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86"/>
      <c r="I294" s="1738"/>
      <c r="J294" s="1772"/>
      <c r="K294" s="1777"/>
      <c r="L294" s="1986" t="s">
        <v>311</v>
      </c>
      <c r="M294" s="341"/>
      <c r="N294" s="334"/>
      <c r="O294" s="1624"/>
      <c r="P294" s="1624"/>
      <c r="AH294" s="1631">
        <v>0</v>
      </c>
    </row>
    <row s="1635" customFormat="1" customHeight="1" ht="18.75" hidden="1">
      <c r="A295" s="1779"/>
      <c r="B295" s="1779"/>
      <c r="C295" s="369" t="s">
        <v>1233</v>
      </c>
      <c r="D295" s="2481"/>
      <c r="E295" s="2223"/>
      <c r="F295" s="2402"/>
      <c r="G295" s="2446"/>
      <c r="H295" s="1500"/>
      <c r="I295" s="651" t="s">
        <v>1232</v>
      </c>
      <c r="J295" s="571"/>
      <c r="K295" s="1500"/>
      <c r="L295" s="214"/>
      <c r="M295" s="341"/>
      <c r="N295" s="334"/>
      <c r="O295" s="1624"/>
      <c r="P295" s="1624"/>
      <c r="AH295" s="1631">
        <v>0</v>
      </c>
    </row>
    <row s="1635" customFormat="1" customHeight="1" ht="0.75" hidden="1">
      <c r="A296" s="1779"/>
      <c r="B296" s="1779"/>
      <c r="C296" s="369" t="s">
        <v>1240</v>
      </c>
      <c r="D296" s="2481"/>
      <c r="E296" s="2223"/>
      <c r="F296" s="2402"/>
      <c r="G296" s="400"/>
      <c r="H296" s="1500"/>
      <c r="I296" s="651"/>
      <c r="J296" s="571"/>
      <c r="K296" s="1500"/>
      <c r="L296" s="214"/>
      <c r="M296" s="341"/>
      <c r="N296" s="334"/>
      <c r="O296" s="1624"/>
      <c r="P296" s="1624"/>
      <c r="AH296" s="1631">
        <v>0</v>
      </c>
    </row>
    <row s="1635" customFormat="1" customHeight="1" ht="18.75" hidden="1">
      <c r="A297" s="1779" t="s">
        <v>230</v>
      </c>
      <c r="B297" s="1779" t="s">
        <v>231</v>
      </c>
      <c r="C297" s="369"/>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59"/>
      <c r="I297" s="1738"/>
      <c r="J297" s="1772"/>
      <c r="K297" s="1777"/>
      <c r="L297" s="1859" t="s">
        <v>311</v>
      </c>
      <c r="M297" s="341"/>
      <c r="N297" s="334"/>
      <c r="O297" s="1624"/>
      <c r="P297" s="1624"/>
      <c r="AH297" s="1631">
        <v>0</v>
      </c>
    </row>
    <row s="1635" customFormat="1" customHeight="1" ht="18.75" hidden="1">
      <c r="A298" s="1779"/>
      <c r="B298" s="1779"/>
      <c r="C298" s="369" t="s">
        <v>1233</v>
      </c>
      <c r="D298" s="2481"/>
      <c r="E298" s="2223"/>
      <c r="F298" s="2402"/>
      <c r="G298" s="2446"/>
      <c r="H298" s="1500"/>
      <c r="I298" s="651" t="s">
        <v>1232</v>
      </c>
      <c r="J298" s="571"/>
      <c r="K298" s="1500"/>
      <c r="L298" s="214"/>
      <c r="M298" s="341"/>
      <c r="N298" s="334"/>
      <c r="O298" s="1624"/>
      <c r="P298" s="1624"/>
      <c r="AH298" s="1631">
        <v>0</v>
      </c>
    </row>
    <row s="1635" customFormat="1" customHeight="1" ht="0.75" hidden="1">
      <c r="A299" s="1779"/>
      <c r="B299" s="1779"/>
      <c r="C299" s="369" t="s">
        <v>1240</v>
      </c>
      <c r="D299" s="2481"/>
      <c r="E299" s="2223"/>
      <c r="F299" s="2402"/>
      <c r="G299" s="400"/>
      <c r="H299" s="1500"/>
      <c r="I299" s="651"/>
      <c r="J299" s="571"/>
      <c r="K299" s="1500"/>
      <c r="L299" s="214"/>
      <c r="M299" s="341"/>
      <c r="N299" s="334"/>
      <c r="O299" s="1624"/>
      <c r="P299" s="1624"/>
      <c r="AH299" s="1631">
        <v>0</v>
      </c>
    </row>
    <row s="1635" customFormat="1" customHeight="1" ht="18.75" hidden="1">
      <c r="A300" s="1779" t="s">
        <v>235</v>
      </c>
      <c r="B300" s="1779" t="s">
        <v>236</v>
      </c>
      <c r="C300" s="369"/>
      <c r="D300" s="2481"/>
      <c r="E300" s="2223"/>
      <c r="F300" s="2402" t="str">
        <f>INDEX(PT_DIFFERENTIATION_VTAR,MATCH(A300,PT_DIFFERENTIATION_VTAR_ID,0))</f>
        <v>Тариф на техническую воду</v>
      </c>
      <c r="G300" s="2446" t="str">
        <f>INDEX(PT_DIFFERENTIATION_NTAR,MATCH(B300,PT_DIFFERENTIATION_NTAR_ID,0))</f>
        <v/>
      </c>
      <c r="H300" s="1859"/>
      <c r="I300" s="1738"/>
      <c r="J300" s="1772"/>
      <c r="K300" s="1777"/>
      <c r="L300" s="1859" t="s">
        <v>311</v>
      </c>
      <c r="M300" s="341"/>
      <c r="N300" s="334"/>
      <c r="O300" s="1624"/>
      <c r="P300" s="1624"/>
      <c r="AH300" s="1631">
        <v>0</v>
      </c>
    </row>
    <row s="1635" customFormat="1" customHeight="1" ht="18.75" hidden="1">
      <c r="A301" s="1779"/>
      <c r="B301" s="1779"/>
      <c r="C301" s="369" t="s">
        <v>1233</v>
      </c>
      <c r="D301" s="2481"/>
      <c r="E301" s="2223"/>
      <c r="F301" s="2402"/>
      <c r="G301" s="2446"/>
      <c r="H301" s="1500"/>
      <c r="I301" s="651" t="s">
        <v>1232</v>
      </c>
      <c r="J301" s="571"/>
      <c r="K301" s="1500"/>
      <c r="L301" s="214"/>
      <c r="M301" s="341"/>
      <c r="N301" s="334"/>
      <c r="O301" s="1624"/>
      <c r="P301" s="1624"/>
      <c r="AH301" s="1631">
        <v>0</v>
      </c>
    </row>
    <row s="1635" customFormat="1" customHeight="1" ht="0.75" hidden="1">
      <c r="A302" s="1779"/>
      <c r="B302" s="1779"/>
      <c r="C302" s="369" t="s">
        <v>1240</v>
      </c>
      <c r="D302" s="2481"/>
      <c r="E302" s="2223"/>
      <c r="F302" s="2402"/>
      <c r="G302" s="400"/>
      <c r="H302" s="1500"/>
      <c r="I302" s="651"/>
      <c r="J302" s="571"/>
      <c r="K302" s="1500"/>
      <c r="L302" s="214"/>
      <c r="M302" s="341"/>
      <c r="N302" s="334"/>
      <c r="O302" s="1624"/>
      <c r="P302" s="1624"/>
      <c r="AH302" s="1631">
        <v>0</v>
      </c>
    </row>
    <row s="1635" customFormat="1" customHeight="1" ht="18.75" hidden="1">
      <c r="A303" s="1779" t="s">
        <v>240</v>
      </c>
      <c r="B303" s="1779" t="s">
        <v>241</v>
      </c>
      <c r="C303" s="369"/>
      <c r="D303" s="2481"/>
      <c r="E303" s="2223"/>
      <c r="F303" s="2402" t="str">
        <f>INDEX(PT_DIFFERENTIATION_VTAR,MATCH(A303,PT_DIFFERENTIATION_VTAR_ID,0))</f>
        <v>Тариф на транспортировку воды</v>
      </c>
      <c r="G303" s="2446" t="str">
        <f>INDEX(PT_DIFFERENTIATION_NTAR,MATCH(B303,PT_DIFFERENTIATION_NTAR_ID,0))</f>
        <v/>
      </c>
      <c r="H303" s="1859"/>
      <c r="I303" s="1738"/>
      <c r="J303" s="1772"/>
      <c r="K303" s="1777"/>
      <c r="L303" s="1859" t="s">
        <v>311</v>
      </c>
      <c r="M303" s="341"/>
      <c r="N303" s="334"/>
      <c r="O303" s="1624"/>
      <c r="P303" s="1624"/>
      <c r="AH303" s="1631">
        <v>0</v>
      </c>
    </row>
    <row s="1635" customFormat="1" customHeight="1" ht="18.75" hidden="1">
      <c r="A304" s="1779"/>
      <c r="B304" s="1779"/>
      <c r="C304" s="369" t="s">
        <v>1233</v>
      </c>
      <c r="D304" s="2481"/>
      <c r="E304" s="2223"/>
      <c r="F304" s="2402"/>
      <c r="G304" s="2446"/>
      <c r="H304" s="1500"/>
      <c r="I304" s="651" t="s">
        <v>1232</v>
      </c>
      <c r="J304" s="571"/>
      <c r="K304" s="1500"/>
      <c r="L304" s="214"/>
      <c r="M304" s="341"/>
      <c r="N304" s="334"/>
      <c r="O304" s="1624"/>
      <c r="P304" s="1624"/>
      <c r="AH304" s="1631">
        <v>0</v>
      </c>
    </row>
    <row s="1635" customFormat="1" customHeight="1" ht="0.75" hidden="1">
      <c r="A305" s="1779"/>
      <c r="B305" s="1779"/>
      <c r="C305" s="369" t="s">
        <v>1240</v>
      </c>
      <c r="D305" s="2481"/>
      <c r="E305" s="2223"/>
      <c r="F305" s="2402"/>
      <c r="G305" s="400"/>
      <c r="H305" s="1500"/>
      <c r="I305" s="651"/>
      <c r="J305" s="571"/>
      <c r="K305" s="1500"/>
      <c r="L305" s="214"/>
      <c r="M305" s="341"/>
      <c r="N305" s="334"/>
      <c r="O305" s="1624"/>
      <c r="P305" s="1624"/>
      <c r="AH305" s="1631">
        <v>0</v>
      </c>
    </row>
    <row s="1635" customFormat="1" customHeight="1" ht="18.75" hidden="1">
      <c r="A306" s="1779" t="s">
        <v>245</v>
      </c>
      <c r="B306" s="1779" t="s">
        <v>246</v>
      </c>
      <c r="C306" s="369"/>
      <c r="D306" s="2481"/>
      <c r="E306" s="2223"/>
      <c r="F306" s="2402" t="str">
        <f>INDEX(PT_DIFFERENTIATION_VTAR,MATCH(A306,PT_DIFFERENTIATION_VTAR_ID,0))</f>
        <v>Тариф на подвоз воды</v>
      </c>
      <c r="G306" s="2446" t="str">
        <f>INDEX(PT_DIFFERENTIATION_NTAR,MATCH(B306,PT_DIFFERENTIATION_NTAR_ID,0))</f>
        <v/>
      </c>
      <c r="H306" s="1859"/>
      <c r="I306" s="1738"/>
      <c r="J306" s="1772"/>
      <c r="K306" s="1777"/>
      <c r="L306" s="1859" t="s">
        <v>311</v>
      </c>
      <c r="M306" s="341"/>
      <c r="N306" s="334"/>
      <c r="O306" s="1624"/>
      <c r="P306" s="1624"/>
      <c r="AH306" s="1631">
        <v>0</v>
      </c>
    </row>
    <row s="1635" customFormat="1" customHeight="1" ht="18.75" hidden="1">
      <c r="A307" s="1779"/>
      <c r="B307" s="1779"/>
      <c r="C307" s="369" t="s">
        <v>1233</v>
      </c>
      <c r="D307" s="2481"/>
      <c r="E307" s="2223"/>
      <c r="F307" s="2402"/>
      <c r="G307" s="2446"/>
      <c r="H307" s="1500"/>
      <c r="I307" s="651" t="s">
        <v>1232</v>
      </c>
      <c r="J307" s="571"/>
      <c r="K307" s="1500"/>
      <c r="L307" s="214"/>
      <c r="M307" s="341"/>
      <c r="N307" s="334"/>
      <c r="O307" s="1624"/>
      <c r="P307" s="1624"/>
      <c r="AH307" s="1631">
        <v>0</v>
      </c>
    </row>
    <row s="1635" customFormat="1" customHeight="1" ht="0.75" hidden="1">
      <c r="A308" s="1779"/>
      <c r="B308" s="1779"/>
      <c r="C308" s="369" t="s">
        <v>1240</v>
      </c>
      <c r="D308" s="2481"/>
      <c r="E308" s="2223"/>
      <c r="F308" s="2402"/>
      <c r="G308" s="400"/>
      <c r="H308" s="1500"/>
      <c r="I308" s="651"/>
      <c r="J308" s="571"/>
      <c r="K308" s="1500"/>
      <c r="L308" s="214"/>
      <c r="M308" s="341"/>
      <c r="N308" s="334"/>
      <c r="O308" s="1624"/>
      <c r="P308" s="1624"/>
      <c r="AH308" s="1631">
        <v>0</v>
      </c>
    </row>
    <row s="1635" customFormat="1" customHeight="1" ht="18.75" hidden="1">
      <c r="A309" s="1779" t="s">
        <v>250</v>
      </c>
      <c r="B309" s="1779" t="s">
        <v>251</v>
      </c>
      <c r="C309" s="369"/>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59"/>
      <c r="I309" s="1738"/>
      <c r="J309" s="1772"/>
      <c r="K309" s="1777"/>
      <c r="L309" s="1859" t="s">
        <v>311</v>
      </c>
      <c r="M309" s="341"/>
      <c r="N309" s="334"/>
      <c r="O309" s="1624"/>
      <c r="P309" s="1624"/>
      <c r="AH309" s="1631">
        <v>0</v>
      </c>
    </row>
    <row s="1635" customFormat="1" customHeight="1" ht="18.75" hidden="1">
      <c r="A310" s="1779"/>
      <c r="B310" s="1779"/>
      <c r="C310" s="369" t="s">
        <v>1233</v>
      </c>
      <c r="D310" s="2481"/>
      <c r="E310" s="2223"/>
      <c r="F310" s="2402"/>
      <c r="G310" s="2446"/>
      <c r="H310" s="1500"/>
      <c r="I310" s="651" t="s">
        <v>1232</v>
      </c>
      <c r="J310" s="571"/>
      <c r="K310" s="1500"/>
      <c r="L310" s="214"/>
      <c r="M310" s="341"/>
      <c r="N310" s="334"/>
      <c r="O310" s="1624"/>
      <c r="P310" s="1624"/>
      <c r="AH310" s="1631">
        <v>0</v>
      </c>
    </row>
    <row s="1635" customFormat="1" customHeight="1" ht="0.75" hidden="1">
      <c r="A311" s="1779"/>
      <c r="B311" s="1779"/>
      <c r="C311" s="369" t="s">
        <v>1240</v>
      </c>
      <c r="D311" s="2481"/>
      <c r="E311" s="2223"/>
      <c r="F311" s="2402"/>
      <c r="G311" s="400"/>
      <c r="H311" s="1500"/>
      <c r="I311" s="651"/>
      <c r="J311" s="571"/>
      <c r="K311" s="1500"/>
      <c r="L311" s="214"/>
      <c r="M311" s="341"/>
      <c r="N311" s="334"/>
      <c r="O311" s="1624"/>
      <c r="P311" s="1624"/>
      <c r="AH311" s="1631">
        <v>0</v>
      </c>
    </row>
    <row s="1635" customFormat="1" customHeight="1" ht="18.75" hidden="1">
      <c r="A312" s="1779" t="s">
        <v>255</v>
      </c>
      <c r="B312" s="1779" t="s">
        <v>256</v>
      </c>
      <c r="C312" s="369"/>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59"/>
      <c r="I312" s="1738"/>
      <c r="J312" s="1772"/>
      <c r="K312" s="1777"/>
      <c r="L312" s="1859" t="s">
        <v>311</v>
      </c>
      <c r="M312" s="341"/>
      <c r="N312" s="334"/>
      <c r="O312" s="1624"/>
      <c r="P312" s="1624"/>
      <c r="AH312" s="1631">
        <v>0</v>
      </c>
    </row>
    <row s="1635" customFormat="1" customHeight="1" ht="18.75" hidden="1">
      <c r="A313" s="1779"/>
      <c r="B313" s="1779"/>
      <c r="C313" s="369" t="s">
        <v>1233</v>
      </c>
      <c r="D313" s="2481"/>
      <c r="E313" s="2223"/>
      <c r="F313" s="2402"/>
      <c r="G313" s="2446"/>
      <c r="H313" s="1500"/>
      <c r="I313" s="651" t="s">
        <v>1232</v>
      </c>
      <c r="J313" s="571"/>
      <c r="K313" s="1500"/>
      <c r="L313" s="214"/>
      <c r="M313" s="341"/>
      <c r="N313" s="334"/>
      <c r="O313" s="1624"/>
      <c r="P313" s="1624"/>
      <c r="AH313" s="1631">
        <v>0</v>
      </c>
    </row>
    <row s="1635" customFormat="1" customHeight="1" ht="0.75" hidden="1">
      <c r="A314" s="1779"/>
      <c r="B314" s="1779"/>
      <c r="C314" s="369" t="s">
        <v>1240</v>
      </c>
      <c r="D314" s="2481"/>
      <c r="E314" s="2223"/>
      <c r="F314" s="2402"/>
      <c r="G314" s="400"/>
      <c r="H314" s="1500"/>
      <c r="I314" s="651"/>
      <c r="J314" s="571"/>
      <c r="K314" s="1500"/>
      <c r="L314" s="214"/>
      <c r="M314" s="341"/>
      <c r="N314" s="334"/>
      <c r="O314" s="1624"/>
      <c r="P314" s="1624"/>
      <c r="AH314" s="1631">
        <v>0</v>
      </c>
    </row>
    <row s="1635" customFormat="1" customHeight="1" ht="18.75" hidden="1">
      <c r="A315" s="1779" t="s">
        <v>260</v>
      </c>
      <c r="B315" s="1779" t="s">
        <v>261</v>
      </c>
      <c r="C315" s="369"/>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59"/>
      <c r="I315" s="1738"/>
      <c r="J315" s="1772"/>
      <c r="K315" s="1777"/>
      <c r="L315" s="1859" t="s">
        <v>311</v>
      </c>
      <c r="M315" s="341"/>
      <c r="N315" s="334"/>
      <c r="O315" s="1624"/>
      <c r="P315" s="1624"/>
      <c r="AH315" s="1631">
        <v>0</v>
      </c>
    </row>
    <row s="1635" customFormat="1" customHeight="1" ht="18.75" hidden="1">
      <c r="A316" s="1779"/>
      <c r="B316" s="1779"/>
      <c r="C316" s="369" t="s">
        <v>1233</v>
      </c>
      <c r="D316" s="2481"/>
      <c r="E316" s="2223"/>
      <c r="F316" s="2402"/>
      <c r="G316" s="2446"/>
      <c r="H316" s="1500"/>
      <c r="I316" s="651" t="s">
        <v>1232</v>
      </c>
      <c r="J316" s="571"/>
      <c r="K316" s="1500"/>
      <c r="L316" s="214"/>
      <c r="M316" s="341"/>
      <c r="N316" s="334"/>
      <c r="O316" s="1624"/>
      <c r="P316" s="1624"/>
      <c r="AH316" s="1631">
        <v>0</v>
      </c>
    </row>
    <row s="1635" customFormat="1" customHeight="1" ht="0.75" hidden="1">
      <c r="A317" s="1779"/>
      <c r="B317" s="1779"/>
      <c r="C317" s="369" t="s">
        <v>1240</v>
      </c>
      <c r="D317" s="2481"/>
      <c r="E317" s="2223"/>
      <c r="F317" s="2402"/>
      <c r="G317" s="400"/>
      <c r="H317" s="1500"/>
      <c r="I317" s="651"/>
      <c r="J317" s="571"/>
      <c r="K317" s="1500"/>
      <c r="L317" s="214"/>
      <c r="M317" s="341"/>
      <c r="N317" s="334"/>
      <c r="O317" s="1624"/>
      <c r="P317" s="1624"/>
      <c r="AH317" s="1631">
        <v>0</v>
      </c>
    </row>
    <row s="1635" customFormat="1" customHeight="1" ht="18.75" hidden="1">
      <c r="A318" s="1779" t="s">
        <v>265</v>
      </c>
      <c r="B318" s="1779" t="s">
        <v>266</v>
      </c>
      <c r="C318" s="369"/>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59"/>
      <c r="I318" s="1738"/>
      <c r="J318" s="1772"/>
      <c r="K318" s="1777"/>
      <c r="L318" s="1859" t="s">
        <v>311</v>
      </c>
      <c r="M318" s="341"/>
      <c r="N318" s="334"/>
      <c r="O318" s="1624"/>
      <c r="P318" s="1624"/>
      <c r="AH318" s="1631">
        <v>0</v>
      </c>
    </row>
    <row s="1635" customFormat="1" customHeight="1" ht="18.75" hidden="1">
      <c r="A319" s="1779"/>
      <c r="B319" s="1779"/>
      <c r="C319" s="369" t="s">
        <v>1233</v>
      </c>
      <c r="D319" s="2481"/>
      <c r="E319" s="2223"/>
      <c r="F319" s="2402"/>
      <c r="G319" s="2446"/>
      <c r="H319" s="1500"/>
      <c r="I319" s="651" t="s">
        <v>1232</v>
      </c>
      <c r="J319" s="571"/>
      <c r="K319" s="1500"/>
      <c r="L319" s="214"/>
      <c r="M319" s="341"/>
      <c r="N319" s="334"/>
      <c r="O319" s="1624"/>
      <c r="P319" s="1624"/>
      <c r="AH319" s="1631">
        <v>0</v>
      </c>
    </row>
    <row s="1635" customFormat="1" customHeight="1" ht="0.75" hidden="1">
      <c r="A320" s="1779"/>
      <c r="B320" s="1779"/>
      <c r="C320" s="369" t="s">
        <v>1240</v>
      </c>
      <c r="D320" s="2481"/>
      <c r="E320" s="2223"/>
      <c r="F320" s="2402"/>
      <c r="G320" s="400"/>
      <c r="H320" s="1500"/>
      <c r="I320" s="651"/>
      <c r="J320" s="571"/>
      <c r="K320" s="1500"/>
      <c r="L320" s="214"/>
      <c r="M320" s="341"/>
      <c r="N320" s="334"/>
      <c r="O320" s="1624"/>
      <c r="P320" s="1624"/>
      <c r="AH320" s="1631">
        <v>0</v>
      </c>
    </row>
    <row s="1635" customFormat="1" customHeight="1" ht="18.75" hidden="1">
      <c r="A321" s="1779" t="s">
        <v>270</v>
      </c>
      <c r="B321" s="1779" t="s">
        <v>271</v>
      </c>
      <c r="C321" s="369"/>
      <c r="D321" s="2481"/>
      <c r="E321" s="2223"/>
      <c r="F321" s="2402" t="str">
        <f>INDEX(PT_DIFFERENTIATION_VTAR,MATCH(A321,PT_DIFFERENTIATION_VTAR_ID,0))</f>
        <v>Тариф на водоотведение</v>
      </c>
      <c r="G321" s="2446" t="str">
        <f>INDEX(PT_DIFFERENTIATION_NTAR,MATCH(B321,PT_DIFFERENTIATION_NTAR_ID,0))</f>
        <v/>
      </c>
      <c r="H321" s="1859"/>
      <c r="I321" s="1738"/>
      <c r="J321" s="1772"/>
      <c r="K321" s="1777"/>
      <c r="L321" s="1859" t="s">
        <v>311</v>
      </c>
      <c r="M321" s="341"/>
      <c r="N321" s="334"/>
      <c r="O321" s="1624"/>
      <c r="P321" s="1624"/>
      <c r="AH321" s="1631">
        <v>0</v>
      </c>
    </row>
    <row s="1635" customFormat="1" customHeight="1" ht="18.75" hidden="1">
      <c r="A322" s="1779"/>
      <c r="B322" s="1779"/>
      <c r="C322" s="369" t="s">
        <v>1233</v>
      </c>
      <c r="D322" s="2481"/>
      <c r="E322" s="2223"/>
      <c r="F322" s="2402"/>
      <c r="G322" s="2446"/>
      <c r="H322" s="1500"/>
      <c r="I322" s="651" t="s">
        <v>1232</v>
      </c>
      <c r="J322" s="571"/>
      <c r="K322" s="1500"/>
      <c r="L322" s="214"/>
      <c r="M322" s="341"/>
      <c r="N322" s="334"/>
      <c r="O322" s="1624"/>
      <c r="P322" s="1624"/>
      <c r="AH322" s="1631">
        <v>0</v>
      </c>
    </row>
    <row s="1635" customFormat="1" customHeight="1" ht="0.75" hidden="1">
      <c r="A323" s="1779"/>
      <c r="B323" s="1779"/>
      <c r="C323" s="369" t="s">
        <v>1240</v>
      </c>
      <c r="D323" s="2481"/>
      <c r="E323" s="2223"/>
      <c r="F323" s="2402"/>
      <c r="G323" s="400"/>
      <c r="H323" s="1500"/>
      <c r="I323" s="651"/>
      <c r="J323" s="571"/>
      <c r="K323" s="1500"/>
      <c r="L323" s="214"/>
      <c r="M323" s="341"/>
      <c r="N323" s="334"/>
      <c r="O323" s="1624"/>
      <c r="P323" s="1624"/>
      <c r="AH323" s="1631">
        <v>0</v>
      </c>
    </row>
    <row s="1635" customFormat="1" customHeight="1" ht="18.75" hidden="1">
      <c r="A324" s="1779" t="s">
        <v>275</v>
      </c>
      <c r="B324" s="1779" t="s">
        <v>276</v>
      </c>
      <c r="C324" s="369"/>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59"/>
      <c r="I324" s="1738"/>
      <c r="J324" s="1772"/>
      <c r="K324" s="1777"/>
      <c r="L324" s="1859" t="s">
        <v>311</v>
      </c>
      <c r="M324" s="341"/>
      <c r="N324" s="334"/>
      <c r="O324" s="1624"/>
      <c r="P324" s="1624"/>
      <c r="AH324" s="1631">
        <v>0</v>
      </c>
    </row>
    <row s="1635" customFormat="1" customHeight="1" ht="18.75" hidden="1">
      <c r="A325" s="1779"/>
      <c r="B325" s="1779"/>
      <c r="C325" s="369" t="s">
        <v>1233</v>
      </c>
      <c r="D325" s="2481"/>
      <c r="E325" s="2223"/>
      <c r="F325" s="2402"/>
      <c r="G325" s="2446"/>
      <c r="H325" s="1500"/>
      <c r="I325" s="651" t="s">
        <v>1232</v>
      </c>
      <c r="J325" s="571"/>
      <c r="K325" s="1500"/>
      <c r="L325" s="214"/>
      <c r="M325" s="341"/>
      <c r="N325" s="334"/>
      <c r="O325" s="1624"/>
      <c r="P325" s="1624"/>
      <c r="AH325" s="1631">
        <v>0</v>
      </c>
    </row>
    <row s="1635" customFormat="1" customHeight="1" ht="0.75" hidden="1">
      <c r="A326" s="1779"/>
      <c r="B326" s="1779"/>
      <c r="C326" s="369" t="s">
        <v>1240</v>
      </c>
      <c r="D326" s="2481"/>
      <c r="E326" s="2223"/>
      <c r="F326" s="2402"/>
      <c r="G326" s="400"/>
      <c r="H326" s="1500"/>
      <c r="I326" s="651"/>
      <c r="J326" s="571"/>
      <c r="K326" s="1500"/>
      <c r="L326" s="214"/>
      <c r="M326" s="341"/>
      <c r="N326" s="334"/>
      <c r="O326" s="1624"/>
      <c r="P326" s="1624"/>
      <c r="AH326" s="1631">
        <v>0</v>
      </c>
    </row>
    <row s="1635" customFormat="1" customHeight="1" ht="18.75" hidden="1">
      <c r="A327" s="1779" t="s">
        <v>280</v>
      </c>
      <c r="B327" s="1779" t="s">
        <v>281</v>
      </c>
      <c r="C327" s="369"/>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59"/>
      <c r="I327" s="1738"/>
      <c r="J327" s="1772"/>
      <c r="K327" s="1777"/>
      <c r="L327" s="1859" t="s">
        <v>311</v>
      </c>
      <c r="M327" s="341"/>
      <c r="N327" s="334"/>
      <c r="O327" s="1624"/>
      <c r="P327" s="1624"/>
      <c r="AH327" s="1631">
        <v>0</v>
      </c>
    </row>
    <row s="1635" customFormat="1" customHeight="1" ht="18.75" hidden="1">
      <c r="A328" s="1779"/>
      <c r="B328" s="1779"/>
      <c r="C328" s="369" t="s">
        <v>1233</v>
      </c>
      <c r="D328" s="2481"/>
      <c r="E328" s="2223"/>
      <c r="F328" s="2402"/>
      <c r="G328" s="2446"/>
      <c r="H328" s="1500"/>
      <c r="I328" s="651" t="s">
        <v>1232</v>
      </c>
      <c r="J328" s="571"/>
      <c r="K328" s="1500"/>
      <c r="L328" s="214"/>
      <c r="M328" s="341"/>
      <c r="N328" s="334"/>
      <c r="O328" s="1624"/>
      <c r="P328" s="1624"/>
      <c r="AH328" s="1631">
        <v>0</v>
      </c>
    </row>
    <row s="1635" customFormat="1" customHeight="1" ht="1.05">
      <c r="A329" s="1779"/>
      <c r="B329" s="1779"/>
      <c r="C329" s="369" t="s">
        <v>1240</v>
      </c>
      <c r="D329" s="2481"/>
      <c r="E329" s="2223"/>
      <c r="F329" s="2402"/>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304"/>
      <c r="G331" s="2304"/>
      <c r="H331" s="2304"/>
      <c r="I331" s="2304"/>
      <c r="J331" s="2304"/>
      <c r="K331" s="2304"/>
      <c r="L331" s="2304"/>
      <c r="M331" s="2304"/>
      <c r="AH331" s="374">
        <v>25</v>
      </c>
    </row>
    <row customHeight="1" ht="14.25" hidden="1">
      <c r="A332" s="1778" t="s">
        <v>83</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98791-FA98-FE18-14F8-49F918A600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121</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4"/>
      <c r="F5" s="2474"/>
      <c r="G5" s="2475"/>
      <c r="H5" s="266"/>
      <c r="R5" s="374">
        <v>33</v>
      </c>
    </row>
    <row s="1635" customFormat="1" customHeight="1" ht="18">
      <c r="A6" s="1668"/>
      <c r="B6" s="1160"/>
      <c r="C6" s="376"/>
      <c r="D6" s="2476" t="str">
        <f>IF(org=0,"Не определено",org)</f>
        <v>Муниципальное унитарное предприятие "Невельские коммунальные сети"</v>
      </c>
      <c r="E6" s="2477"/>
      <c r="F6" s="2477"/>
      <c r="G6" s="2478"/>
      <c r="H6" s="266"/>
      <c r="J6" s="1624"/>
      <c r="K6" s="1624"/>
      <c r="R6" s="1631">
        <v>17</v>
      </c>
    </row>
    <row customHeight="1" ht="14.699999999999998">
      <c r="C7" s="376"/>
      <c r="D7" s="363"/>
      <c r="E7" s="389"/>
      <c r="F7" s="389"/>
      <c r="G7" s="752"/>
      <c r="H7" s="193"/>
      <c r="R7" s="374">
        <v>14</v>
      </c>
    </row>
    <row customHeight="1" ht="14.699999999999998">
      <c r="C8" s="376"/>
      <c r="D8" s="2228" t="s">
        <v>305</v>
      </c>
      <c r="E8" s="2228"/>
      <c r="F8" s="2228"/>
      <c r="G8" s="2228"/>
      <c r="H8" s="2408" t="s">
        <v>306</v>
      </c>
      <c r="R8" s="374">
        <v>14</v>
      </c>
    </row>
    <row customHeight="1" ht="24">
      <c r="C9" s="376"/>
      <c r="D9" s="386" t="s">
        <v>89</v>
      </c>
      <c r="E9" s="108" t="s">
        <v>307</v>
      </c>
      <c r="F9" s="108" t="s">
        <v>308</v>
      </c>
      <c r="G9" s="108" t="s">
        <v>395</v>
      </c>
      <c r="H9" s="2408"/>
      <c r="R9" s="374">
        <v>23</v>
      </c>
    </row>
    <row customHeight="1" ht="14.699999999999998">
      <c r="A10" s="343"/>
      <c r="C10" s="376"/>
      <c r="D10" s="147" t="s">
        <v>110</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88" t="s">
        <v>1241</v>
      </c>
      <c r="R10" s="374">
        <v>14</v>
      </c>
    </row>
    <row customHeight="1" ht="14.699999999999998">
      <c r="A11" s="343"/>
      <c r="C11" s="376"/>
      <c r="D11" s="147" t="s">
        <v>111</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89"/>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9"/>
      <c r="I13" s="350"/>
      <c r="K13" s="374"/>
      <c r="R13" s="374">
        <v>14</v>
      </c>
    </row>
    <row customHeight="1" ht="14.699999999999998">
      <c r="A14" s="343"/>
      <c r="C14" s="376"/>
      <c r="D14" s="347"/>
      <c r="E14" s="395" t="s">
        <v>327</v>
      </c>
      <c r="F14" s="349"/>
      <c r="G14" s="201"/>
      <c r="H14" s="2190"/>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4"/>
      <c r="F16" s="2404"/>
      <c r="G16" s="2404"/>
      <c r="H16" s="2404"/>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16348-1468-BA93-194E-3E902B4A65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customWidth="1"/>
    <col min="21" max="21" style="1850" width="5.7109375" customWidth="1"/>
    <col min="22" max="22" style="1850" width="34.421875"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7"/>
      <c r="F5" s="2177"/>
      <c r="G5" s="2177"/>
      <c r="H5" s="2177"/>
      <c r="I5" s="2177"/>
      <c r="J5" s="2178"/>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82" t="str">
        <f>IF(org=0,"Не определено",org)</f>
        <v>Муниципальное унитарное предприятие "Невельские коммунальные сети"</v>
      </c>
      <c r="E6" s="2182"/>
      <c r="F6" s="2182"/>
      <c r="G6" s="2182"/>
      <c r="H6" s="2182"/>
      <c r="I6" s="2182"/>
      <c r="J6" s="2182"/>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79"/>
      <c r="E7" s="2180"/>
      <c r="F7" s="2180"/>
      <c r="G7" s="2180"/>
      <c r="H7" s="2180"/>
      <c r="I7" s="2180"/>
      <c r="J7" s="2181"/>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46" t="s">
        <v>89</v>
      </c>
      <c r="E9" s="2120" t="s">
        <v>129</v>
      </c>
      <c r="F9" s="2122"/>
      <c r="G9" s="2146" t="s">
        <v>106</v>
      </c>
      <c r="H9" s="2146" t="s">
        <v>89</v>
      </c>
      <c r="I9" s="2146"/>
      <c r="J9" s="2146" t="s">
        <v>130</v>
      </c>
      <c r="K9" s="2174" t="s">
        <v>131</v>
      </c>
      <c r="L9" s="2174"/>
      <c r="M9" s="2174"/>
      <c r="N9" s="2174"/>
      <c r="O9" s="2174" t="s">
        <v>132</v>
      </c>
      <c r="P9" s="2174"/>
      <c r="Q9" s="2174"/>
      <c r="R9" s="2174"/>
      <c r="S9" s="2174" t="s">
        <v>133</v>
      </c>
      <c r="T9" s="2174"/>
      <c r="U9" s="2174"/>
      <c r="V9" s="2174"/>
      <c r="W9" s="2146" t="s">
        <v>134</v>
      </c>
      <c r="AR9" s="104">
        <v>27</v>
      </c>
    </row>
    <row customHeight="1" ht="31.5">
      <c r="D10" s="2146"/>
      <c r="E10" s="1284" t="s">
        <v>90</v>
      </c>
      <c r="F10" s="1284" t="s">
        <v>135</v>
      </c>
      <c r="G10" s="2146"/>
      <c r="H10" s="2146"/>
      <c r="I10" s="2146"/>
      <c r="J10" s="2146"/>
      <c r="K10" s="110" t="s">
        <v>109</v>
      </c>
      <c r="L10" s="2146" t="s">
        <v>89</v>
      </c>
      <c r="M10" s="2146"/>
      <c r="N10" s="110" t="s">
        <v>136</v>
      </c>
      <c r="O10" s="110" t="s">
        <v>109</v>
      </c>
      <c r="P10" s="2146" t="s">
        <v>89</v>
      </c>
      <c r="Q10" s="2146"/>
      <c r="R10" s="110" t="s">
        <v>136</v>
      </c>
      <c r="S10" s="283" t="s">
        <v>109</v>
      </c>
      <c r="T10" s="2146" t="s">
        <v>89</v>
      </c>
      <c r="U10" s="2146"/>
      <c r="V10" s="283" t="s">
        <v>90</v>
      </c>
      <c r="W10" s="2146"/>
      <c r="Z10" s="1259" t="s">
        <v>137</v>
      </c>
      <c r="AA10" s="1259" t="s">
        <v>138</v>
      </c>
      <c r="AB10" s="1259" t="s">
        <v>139</v>
      </c>
      <c r="AC10" s="1259" t="s">
        <v>140</v>
      </c>
      <c r="AD10" s="1259" t="s">
        <v>141</v>
      </c>
      <c r="AE10" s="1259" t="s">
        <v>142</v>
      </c>
      <c r="AF10" s="1259" t="s">
        <v>143</v>
      </c>
      <c r="AG10" s="1259" t="s">
        <v>144</v>
      </c>
      <c r="AH10" s="1259" t="s">
        <v>145</v>
      </c>
      <c r="AI10" s="1259" t="s">
        <v>146</v>
      </c>
      <c r="AJ10" s="1259" t="s">
        <v>147</v>
      </c>
      <c r="AK10" s="1259" t="s">
        <v>148</v>
      </c>
      <c r="AL10" s="1259" t="s">
        <v>149</v>
      </c>
      <c r="AM10" s="1259" t="s">
        <v>150</v>
      </c>
      <c r="AN10" s="1259" t="s">
        <v>151</v>
      </c>
      <c r="AO10" s="1259" t="s">
        <v>152</v>
      </c>
      <c r="AP10" s="1259" t="s">
        <v>153</v>
      </c>
      <c r="AQ10" s="1259" t="s">
        <v>154</v>
      </c>
      <c r="AR10" s="104">
        <v>30</v>
      </c>
    </row>
    <row s="1624" customFormat="1" customHeight="1" ht="12">
      <c r="D11" s="1249" t="s">
        <v>110</v>
      </c>
      <c r="E11" s="1249" t="s">
        <v>111</v>
      </c>
      <c r="F11" s="1249"/>
      <c r="G11" s="1249" t="s">
        <v>91</v>
      </c>
      <c r="H11" s="2175" t="s">
        <v>100</v>
      </c>
      <c r="I11" s="2175"/>
      <c r="J11" s="1249" t="s">
        <v>93</v>
      </c>
      <c r="K11" s="1249" t="s">
        <v>94</v>
      </c>
      <c r="L11" s="2175" t="s">
        <v>112</v>
      </c>
      <c r="M11" s="2175"/>
      <c r="N11" s="1249" t="s">
        <v>155</v>
      </c>
      <c r="O11" s="1249" t="s">
        <v>156</v>
      </c>
      <c r="P11" s="2175" t="s">
        <v>157</v>
      </c>
      <c r="Q11" s="2175"/>
      <c r="R11" s="1249" t="s">
        <v>158</v>
      </c>
      <c r="S11" s="1249" t="s">
        <v>157</v>
      </c>
      <c r="T11" s="2175" t="s">
        <v>158</v>
      </c>
      <c r="U11" s="2175"/>
      <c r="V11" s="1249" t="s">
        <v>159</v>
      </c>
      <c r="W11" s="1249" t="s">
        <v>160</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54">
        <v>1</v>
      </c>
      <c r="E13" s="2162" t="s">
        <v>161</v>
      </c>
      <c r="F13" s="2164" t="s">
        <v>19</v>
      </c>
      <c r="G13" s="2162"/>
      <c r="H13" s="2167"/>
      <c r="I13" s="2169"/>
      <c r="J13" s="2171"/>
      <c r="K13" s="2156"/>
      <c r="L13" s="2156"/>
      <c r="M13" s="2156"/>
      <c r="N13" s="2158"/>
      <c r="O13" s="2156"/>
      <c r="P13" s="2156"/>
      <c r="Q13" s="2156"/>
      <c r="R13" s="2161"/>
      <c r="S13" s="2156"/>
      <c r="T13" s="1420"/>
      <c r="U13" s="1420"/>
      <c r="V13" s="1419"/>
      <c r="W13" s="1296"/>
      <c r="Y13" s="1267"/>
      <c r="Z13" s="1267"/>
      <c r="AA13" s="1267"/>
      <c r="AB13" s="1267"/>
      <c r="AC13" s="1267" t="s">
        <v>162</v>
      </c>
      <c r="AD13" s="1267" t="s">
        <v>163</v>
      </c>
      <c r="AE13" s="1267" t="s">
        <v>164</v>
      </c>
      <c r="AF13" s="1267" t="s">
        <v>165</v>
      </c>
      <c r="AG13" s="1267" t="s">
        <v>166</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54"/>
      <c r="E14" s="2162"/>
      <c r="F14" s="2165"/>
      <c r="G14" s="2162"/>
      <c r="H14" s="2168"/>
      <c r="I14" s="2170"/>
      <c r="J14" s="2172"/>
      <c r="K14" s="2157"/>
      <c r="L14" s="2157"/>
      <c r="M14" s="2157"/>
      <c r="N14" s="2159"/>
      <c r="O14" s="2157"/>
      <c r="P14" s="2157"/>
      <c r="Q14" s="2157"/>
      <c r="R14" s="2160"/>
      <c r="S14" s="2157"/>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54"/>
      <c r="E15" s="2162"/>
      <c r="F15" s="2165"/>
      <c r="G15" s="2162"/>
      <c r="H15" s="2168"/>
      <c r="I15" s="2170"/>
      <c r="J15" s="2173"/>
      <c r="K15" s="2157"/>
      <c r="L15" s="2157"/>
      <c r="M15" s="2157"/>
      <c r="N15" s="2160"/>
      <c r="O15" s="2157"/>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54"/>
      <c r="E16" s="2162"/>
      <c r="F16" s="2165"/>
      <c r="G16" s="2162"/>
      <c r="H16" s="2168"/>
      <c r="I16" s="2170"/>
      <c r="J16" s="2173"/>
      <c r="K16" s="2157"/>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55"/>
      <c r="E17" s="2163"/>
      <c r="F17" s="2166"/>
      <c r="G17" s="2163"/>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54">
        <v>2</v>
      </c>
      <c r="E18" s="2183"/>
      <c r="F18" s="2164" t="s">
        <v>19</v>
      </c>
      <c r="G18" s="2162"/>
      <c r="H18" s="2167"/>
      <c r="I18" s="2169"/>
      <c r="J18" s="2171"/>
      <c r="K18" s="2156"/>
      <c r="L18" s="2156"/>
      <c r="M18" s="2156"/>
      <c r="N18" s="2158"/>
      <c r="O18" s="2156"/>
      <c r="P18" s="2156"/>
      <c r="Q18" s="2156"/>
      <c r="R18" s="2161"/>
      <c r="S18" s="2156"/>
      <c r="T18" s="1420"/>
      <c r="U18" s="1420"/>
      <c r="V18" s="1419"/>
      <c r="W18" s="1296"/>
      <c r="X18" s="1267"/>
      <c r="Y18" s="1267"/>
      <c r="Z18" s="1267"/>
      <c r="AA18" s="1267"/>
      <c r="AB18" s="1267"/>
      <c r="AC18" s="1267" t="s">
        <v>167</v>
      </c>
      <c r="AD18" s="1267" t="s">
        <v>168</v>
      </c>
      <c r="AE18" s="1267" t="s">
        <v>169</v>
      </c>
      <c r="AF18" s="1267" t="s">
        <v>170</v>
      </c>
      <c r="AG18" s="1267" t="s">
        <v>171</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54"/>
      <c r="E19" s="2183"/>
      <c r="F19" s="2165"/>
      <c r="G19" s="2162"/>
      <c r="H19" s="2168"/>
      <c r="I19" s="2170"/>
      <c r="J19" s="2172"/>
      <c r="K19" s="2157"/>
      <c r="L19" s="2157"/>
      <c r="M19" s="2157"/>
      <c r="N19" s="2159"/>
      <c r="O19" s="2157"/>
      <c r="P19" s="2157"/>
      <c r="Q19" s="2157"/>
      <c r="R19" s="2160"/>
      <c r="S19" s="2157"/>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55"/>
      <c r="E20" s="2184"/>
      <c r="F20" s="2165"/>
      <c r="G20" s="2163"/>
      <c r="H20" s="2168"/>
      <c r="I20" s="2170"/>
      <c r="J20" s="2173"/>
      <c r="K20" s="2157"/>
      <c r="L20" s="2157"/>
      <c r="M20" s="2157"/>
      <c r="N20" s="2160"/>
      <c r="O20" s="2157"/>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55"/>
      <c r="E21" s="2184"/>
      <c r="F21" s="2165"/>
      <c r="G21" s="2163"/>
      <c r="H21" s="2168"/>
      <c r="I21" s="2170"/>
      <c r="J21" s="2173"/>
      <c r="K21" s="2157"/>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55"/>
      <c r="E22" s="2184"/>
      <c r="F22" s="2166"/>
      <c r="G22" s="2163"/>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54">
        <v>2</v>
      </c>
      <c r="E23" s="2162" t="s">
        <v>172</v>
      </c>
      <c r="F23" s="2164" t="s">
        <v>19</v>
      </c>
      <c r="G23" s="2162"/>
      <c r="H23" s="2167"/>
      <c r="I23" s="2169"/>
      <c r="J23" s="2171"/>
      <c r="K23" s="2156"/>
      <c r="L23" s="2156"/>
      <c r="M23" s="2156"/>
      <c r="N23" s="2158"/>
      <c r="O23" s="2156"/>
      <c r="P23" s="2156"/>
      <c r="Q23" s="2156"/>
      <c r="R23" s="2161"/>
      <c r="S23" s="2156"/>
      <c r="T23" s="1995"/>
      <c r="U23" s="1995"/>
      <c r="V23" s="1997"/>
      <c r="W23" s="1296"/>
      <c r="X23" s="1267"/>
      <c r="Y23" s="1267"/>
      <c r="Z23" s="1267"/>
      <c r="AA23" s="1267"/>
      <c r="AB23" s="1267"/>
      <c r="AC23" s="1267" t="s">
        <v>167</v>
      </c>
      <c r="AD23" s="1267" t="s">
        <v>168</v>
      </c>
      <c r="AE23" s="1267" t="s">
        <v>169</v>
      </c>
      <c r="AF23" s="1267" t="s">
        <v>170</v>
      </c>
      <c r="AG23" s="1267" t="s">
        <v>171</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54"/>
      <c r="E24" s="2162"/>
      <c r="F24" s="2165"/>
      <c r="G24" s="2162"/>
      <c r="H24" s="2168"/>
      <c r="I24" s="2170"/>
      <c r="J24" s="2172"/>
      <c r="K24" s="2157"/>
      <c r="L24" s="2157"/>
      <c r="M24" s="2157"/>
      <c r="N24" s="2159"/>
      <c r="O24" s="2157"/>
      <c r="P24" s="2157"/>
      <c r="Q24" s="2157"/>
      <c r="R24" s="2160"/>
      <c r="S24" s="2157"/>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55"/>
      <c r="E25" s="2163"/>
      <c r="F25" s="2165"/>
      <c r="G25" s="2163"/>
      <c r="H25" s="2168"/>
      <c r="I25" s="2170"/>
      <c r="J25" s="2173"/>
      <c r="K25" s="2157"/>
      <c r="L25" s="2157"/>
      <c r="M25" s="2157"/>
      <c r="N25" s="2160"/>
      <c r="O25" s="2157"/>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55"/>
      <c r="E26" s="2163"/>
      <c r="F26" s="2165"/>
      <c r="G26" s="2163"/>
      <c r="H26" s="2168"/>
      <c r="I26" s="2170"/>
      <c r="J26" s="2173"/>
      <c r="K26" s="2157"/>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55"/>
      <c r="E27" s="2163"/>
      <c r="F27" s="2166"/>
      <c r="G27" s="2163"/>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54">
        <v>3</v>
      </c>
      <c r="E28" s="2162" t="s">
        <v>173</v>
      </c>
      <c r="F28" s="2164" t="s">
        <v>19</v>
      </c>
      <c r="G28" s="2162"/>
      <c r="H28" s="2167"/>
      <c r="I28" s="2169"/>
      <c r="J28" s="2171"/>
      <c r="K28" s="2156"/>
      <c r="L28" s="2156"/>
      <c r="M28" s="2156"/>
      <c r="N28" s="2158"/>
      <c r="O28" s="2156"/>
      <c r="P28" s="2156"/>
      <c r="Q28" s="2156"/>
      <c r="R28" s="2161"/>
      <c r="S28" s="2156"/>
      <c r="T28" s="1420"/>
      <c r="U28" s="1420"/>
      <c r="V28" s="1419"/>
      <c r="W28" s="1296"/>
      <c r="X28" s="1267"/>
      <c r="Y28" s="1267"/>
      <c r="Z28" s="1267"/>
      <c r="AA28" s="1267"/>
      <c r="AB28" s="1267"/>
      <c r="AC28" s="1267" t="s">
        <v>174</v>
      </c>
      <c r="AD28" s="1267" t="s">
        <v>175</v>
      </c>
      <c r="AE28" s="1267" t="s">
        <v>176</v>
      </c>
      <c r="AF28" s="1267" t="s">
        <v>177</v>
      </c>
      <c r="AG28" s="1267" t="s">
        <v>178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54"/>
      <c r="E29" s="2162"/>
      <c r="F29" s="2165"/>
      <c r="G29" s="2162"/>
      <c r="H29" s="2168"/>
      <c r="I29" s="2170"/>
      <c r="J29" s="2172"/>
      <c r="K29" s="2157"/>
      <c r="L29" s="2157"/>
      <c r="M29" s="2157"/>
      <c r="N29" s="2159"/>
      <c r="O29" s="2157"/>
      <c r="P29" s="2157"/>
      <c r="Q29" s="2157"/>
      <c r="R29" s="2160"/>
      <c r="S29" s="2157"/>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55"/>
      <c r="E30" s="2163"/>
      <c r="F30" s="2165"/>
      <c r="G30" s="2163"/>
      <c r="H30" s="2168"/>
      <c r="I30" s="2170"/>
      <c r="J30" s="2173"/>
      <c r="K30" s="2157"/>
      <c r="L30" s="2157"/>
      <c r="M30" s="2157"/>
      <c r="N30" s="2160"/>
      <c r="O30" s="2157"/>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55"/>
      <c r="E31" s="2163"/>
      <c r="F31" s="2165"/>
      <c r="G31" s="2163"/>
      <c r="H31" s="2168"/>
      <c r="I31" s="2170"/>
      <c r="J31" s="2173"/>
      <c r="K31" s="2157"/>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55"/>
      <c r="E32" s="2163"/>
      <c r="F32" s="2166"/>
      <c r="G32" s="2163"/>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54">
        <v>4</v>
      </c>
      <c r="E33" s="2162" t="s">
        <v>179</v>
      </c>
      <c r="F33" s="2164" t="s">
        <v>19</v>
      </c>
      <c r="G33" s="2162"/>
      <c r="H33" s="2167"/>
      <c r="I33" s="2169"/>
      <c r="J33" s="2171"/>
      <c r="K33" s="2156"/>
      <c r="L33" s="2156"/>
      <c r="M33" s="2156"/>
      <c r="N33" s="2158"/>
      <c r="O33" s="2156"/>
      <c r="P33" s="2156"/>
      <c r="Q33" s="2156"/>
      <c r="R33" s="2161"/>
      <c r="S33" s="2156"/>
      <c r="T33" s="1420"/>
      <c r="U33" s="1420"/>
      <c r="V33" s="1419"/>
      <c r="W33" s="1296"/>
      <c r="X33" s="1267"/>
      <c r="Y33" s="1267"/>
      <c r="Z33" s="1267"/>
      <c r="AA33" s="1267"/>
      <c r="AB33" s="1267"/>
      <c r="AC33" s="1267" t="s">
        <v>180</v>
      </c>
      <c r="AD33" s="1267" t="s">
        <v>181</v>
      </c>
      <c r="AE33" s="1267" t="s">
        <v>182</v>
      </c>
      <c r="AF33" s="1267" t="s">
        <v>183</v>
      </c>
      <c r="AG33" s="1267" t="s">
        <v>184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54"/>
      <c r="E34" s="2162"/>
      <c r="F34" s="2165"/>
      <c r="G34" s="2162"/>
      <c r="H34" s="2168"/>
      <c r="I34" s="2170"/>
      <c r="J34" s="2172"/>
      <c r="K34" s="2157"/>
      <c r="L34" s="2157"/>
      <c r="M34" s="2157"/>
      <c r="N34" s="2159"/>
      <c r="O34" s="2157"/>
      <c r="P34" s="2157"/>
      <c r="Q34" s="2157"/>
      <c r="R34" s="2160"/>
      <c r="S34" s="2157"/>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55"/>
      <c r="E35" s="2163"/>
      <c r="F35" s="2165"/>
      <c r="G35" s="2163"/>
      <c r="H35" s="2168"/>
      <c r="I35" s="2170"/>
      <c r="J35" s="2173"/>
      <c r="K35" s="2157"/>
      <c r="L35" s="2157"/>
      <c r="M35" s="2157"/>
      <c r="N35" s="2160"/>
      <c r="O35" s="2157"/>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55"/>
      <c r="E36" s="2163"/>
      <c r="F36" s="2165"/>
      <c r="G36" s="2163"/>
      <c r="H36" s="2168"/>
      <c r="I36" s="2170"/>
      <c r="J36" s="2173"/>
      <c r="K36" s="2157"/>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55"/>
      <c r="E37" s="2163"/>
      <c r="F37" s="2166"/>
      <c r="G37" s="2163"/>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54">
        <v>5</v>
      </c>
      <c r="E38" s="2162" t="s">
        <v>185</v>
      </c>
      <c r="F38" s="2164" t="s">
        <v>19</v>
      </c>
      <c r="G38" s="2162"/>
      <c r="H38" s="2167"/>
      <c r="I38" s="2169"/>
      <c r="J38" s="2171"/>
      <c r="K38" s="2156"/>
      <c r="L38" s="2156"/>
      <c r="M38" s="2156"/>
      <c r="N38" s="2158"/>
      <c r="O38" s="2156"/>
      <c r="P38" s="2156"/>
      <c r="Q38" s="2156"/>
      <c r="R38" s="2161"/>
      <c r="S38" s="2156"/>
      <c r="T38" s="1420"/>
      <c r="U38" s="1420"/>
      <c r="V38" s="1419"/>
      <c r="W38" s="1296"/>
      <c r="X38" s="1267"/>
      <c r="Y38" s="1267"/>
      <c r="Z38" s="1267"/>
      <c r="AA38" s="1267"/>
      <c r="AB38" s="1267"/>
      <c r="AC38" s="1267" t="s">
        <v>186</v>
      </c>
      <c r="AD38" s="1267" t="s">
        <v>187</v>
      </c>
      <c r="AE38" s="1267" t="s">
        <v>188</v>
      </c>
      <c r="AF38" s="1267" t="s">
        <v>189</v>
      </c>
      <c r="AG38" s="1267" t="s">
        <v>190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54"/>
      <c r="E39" s="2162"/>
      <c r="F39" s="2165"/>
      <c r="G39" s="2162"/>
      <c r="H39" s="2168"/>
      <c r="I39" s="2170"/>
      <c r="J39" s="2172"/>
      <c r="K39" s="2157"/>
      <c r="L39" s="2157"/>
      <c r="M39" s="2157"/>
      <c r="N39" s="2159"/>
      <c r="O39" s="2157"/>
      <c r="P39" s="2157"/>
      <c r="Q39" s="2157"/>
      <c r="R39" s="2160"/>
      <c r="S39" s="2157"/>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55"/>
      <c r="E40" s="2163"/>
      <c r="F40" s="2165"/>
      <c r="G40" s="2163"/>
      <c r="H40" s="2168"/>
      <c r="I40" s="2170"/>
      <c r="J40" s="2173"/>
      <c r="K40" s="2157"/>
      <c r="L40" s="2157"/>
      <c r="M40" s="2157"/>
      <c r="N40" s="2160"/>
      <c r="O40" s="2157"/>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55"/>
      <c r="E41" s="2163"/>
      <c r="F41" s="2165"/>
      <c r="G41" s="2163"/>
      <c r="H41" s="2168"/>
      <c r="I41" s="2170"/>
      <c r="J41" s="2173"/>
      <c r="K41" s="2157"/>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55"/>
      <c r="E42" s="2163"/>
      <c r="F42" s="2166"/>
      <c r="G42" s="2163"/>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54">
        <v>6</v>
      </c>
      <c r="E43" s="2162" t="s">
        <v>191</v>
      </c>
      <c r="F43" s="2164" t="s">
        <v>19</v>
      </c>
      <c r="G43" s="2162"/>
      <c r="H43" s="2167"/>
      <c r="I43" s="2169"/>
      <c r="J43" s="2171"/>
      <c r="K43" s="2156"/>
      <c r="L43" s="2156"/>
      <c r="M43" s="2156"/>
      <c r="N43" s="2158"/>
      <c r="O43" s="2156"/>
      <c r="P43" s="2156"/>
      <c r="Q43" s="2156"/>
      <c r="R43" s="2161"/>
      <c r="S43" s="2156"/>
      <c r="T43" s="1420"/>
      <c r="U43" s="1420"/>
      <c r="V43" s="1419"/>
      <c r="W43" s="1296"/>
      <c r="X43" s="1267"/>
      <c r="Y43" s="1267"/>
      <c r="Z43" s="1267"/>
      <c r="AA43" s="1267"/>
      <c r="AB43" s="1267"/>
      <c r="AC43" s="1267" t="s">
        <v>192</v>
      </c>
      <c r="AD43" s="1267" t="s">
        <v>193</v>
      </c>
      <c r="AE43" s="1267" t="s">
        <v>194</v>
      </c>
      <c r="AF43" s="1267" t="s">
        <v>195</v>
      </c>
      <c r="AG43" s="1267" t="s">
        <v>196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54"/>
      <c r="E44" s="2162"/>
      <c r="F44" s="2165"/>
      <c r="G44" s="2162"/>
      <c r="H44" s="2168"/>
      <c r="I44" s="2170"/>
      <c r="J44" s="2172"/>
      <c r="K44" s="2157"/>
      <c r="L44" s="2157"/>
      <c r="M44" s="2157"/>
      <c r="N44" s="2159"/>
      <c r="O44" s="2157"/>
      <c r="P44" s="2157"/>
      <c r="Q44" s="2157"/>
      <c r="R44" s="2160"/>
      <c r="S44" s="2157"/>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55"/>
      <c r="E45" s="2163"/>
      <c r="F45" s="2165"/>
      <c r="G45" s="2163"/>
      <c r="H45" s="2168"/>
      <c r="I45" s="2170"/>
      <c r="J45" s="2173"/>
      <c r="K45" s="2157"/>
      <c r="L45" s="2157"/>
      <c r="M45" s="2157"/>
      <c r="N45" s="2160"/>
      <c r="O45" s="2157"/>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55"/>
      <c r="E46" s="2163"/>
      <c r="F46" s="2165"/>
      <c r="G46" s="2163"/>
      <c r="H46" s="2168"/>
      <c r="I46" s="2170"/>
      <c r="J46" s="2173"/>
      <c r="K46" s="2157"/>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55"/>
      <c r="E47" s="2163"/>
      <c r="F47" s="2166"/>
      <c r="G47" s="2163"/>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85">
        <v>7</v>
      </c>
      <c r="E48" s="2188" t="s">
        <v>197</v>
      </c>
      <c r="F48" s="2164" t="s">
        <v>19</v>
      </c>
      <c r="G48" s="2188"/>
      <c r="H48" s="2167"/>
      <c r="I48" s="2169"/>
      <c r="J48" s="2171"/>
      <c r="K48" s="2156"/>
      <c r="L48" s="2156"/>
      <c r="M48" s="2156"/>
      <c r="N48" s="2158"/>
      <c r="O48" s="2156"/>
      <c r="P48" s="2156"/>
      <c r="Q48" s="2156"/>
      <c r="R48" s="2161"/>
      <c r="S48" s="2156"/>
      <c r="T48" s="1420"/>
      <c r="U48" s="1420"/>
      <c r="V48" s="1419"/>
      <c r="W48" s="1296"/>
      <c r="X48" s="1267"/>
      <c r="Y48" s="1267"/>
      <c r="Z48" s="1267"/>
      <c r="AA48" s="1267"/>
      <c r="AB48" s="1267"/>
      <c r="AC48" s="1267" t="s">
        <v>198</v>
      </c>
      <c r="AD48" s="1267" t="s">
        <v>199</v>
      </c>
      <c r="AE48" s="1267" t="s">
        <v>200</v>
      </c>
      <c r="AF48" s="1267" t="s">
        <v>201</v>
      </c>
      <c r="AG48" s="1267" t="s">
        <v>202</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6"/>
      <c r="E49" s="2189"/>
      <c r="F49" s="2165"/>
      <c r="G49" s="2189"/>
      <c r="H49" s="2168"/>
      <c r="I49" s="2170"/>
      <c r="J49" s="2172"/>
      <c r="K49" s="2157"/>
      <c r="L49" s="2157"/>
      <c r="M49" s="2157"/>
      <c r="N49" s="2159"/>
      <c r="O49" s="2157"/>
      <c r="P49" s="2157"/>
      <c r="Q49" s="2157"/>
      <c r="R49" s="2160"/>
      <c r="S49" s="2157"/>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6"/>
      <c r="E50" s="2189"/>
      <c r="F50" s="2165"/>
      <c r="G50" s="2189"/>
      <c r="H50" s="2168"/>
      <c r="I50" s="2170"/>
      <c r="J50" s="2173"/>
      <c r="K50" s="2157"/>
      <c r="L50" s="2157"/>
      <c r="M50" s="2157"/>
      <c r="N50" s="2160"/>
      <c r="O50" s="2157"/>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6"/>
      <c r="E51" s="2189"/>
      <c r="F51" s="2165"/>
      <c r="G51" s="2189"/>
      <c r="H51" s="2168"/>
      <c r="I51" s="2170"/>
      <c r="J51" s="2173"/>
      <c r="K51" s="2157"/>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7"/>
      <c r="E52" s="2190"/>
      <c r="F52" s="2166"/>
      <c r="G52" s="2190"/>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54">
        <v>8</v>
      </c>
      <c r="E53" s="2162" t="s">
        <v>203</v>
      </c>
      <c r="F53" s="2164" t="s">
        <v>19</v>
      </c>
      <c r="G53" s="2162"/>
      <c r="H53" s="2167"/>
      <c r="I53" s="2169"/>
      <c r="J53" s="2171"/>
      <c r="K53" s="2156"/>
      <c r="L53" s="2156"/>
      <c r="M53" s="2156"/>
      <c r="N53" s="2158"/>
      <c r="O53" s="2156"/>
      <c r="P53" s="2156"/>
      <c r="Q53" s="2156"/>
      <c r="R53" s="2161"/>
      <c r="S53" s="2156"/>
      <c r="T53" s="1470"/>
      <c r="U53" s="1470"/>
      <c r="V53" s="1472"/>
      <c r="W53" s="1296"/>
      <c r="X53" s="1267"/>
      <c r="Y53" s="1267"/>
      <c r="Z53" s="1267"/>
      <c r="AA53" s="1267"/>
      <c r="AB53" s="1267"/>
      <c r="AC53" s="1267" t="s">
        <v>204</v>
      </c>
      <c r="AD53" s="1267" t="s">
        <v>205</v>
      </c>
      <c r="AE53" s="1267" t="s">
        <v>206</v>
      </c>
      <c r="AF53" s="1267" t="s">
        <v>207</v>
      </c>
      <c r="AG53" s="1267" t="s">
        <v>208</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54"/>
      <c r="E54" s="2162"/>
      <c r="F54" s="2165"/>
      <c r="G54" s="2162"/>
      <c r="H54" s="2168"/>
      <c r="I54" s="2170"/>
      <c r="J54" s="2172"/>
      <c r="K54" s="2157"/>
      <c r="L54" s="2157"/>
      <c r="M54" s="2157"/>
      <c r="N54" s="2159"/>
      <c r="O54" s="2157"/>
      <c r="P54" s="2157"/>
      <c r="Q54" s="2157"/>
      <c r="R54" s="2160"/>
      <c r="S54" s="2157"/>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55"/>
      <c r="E55" s="2163"/>
      <c r="F55" s="2165"/>
      <c r="G55" s="2163"/>
      <c r="H55" s="2168"/>
      <c r="I55" s="2170"/>
      <c r="J55" s="2173"/>
      <c r="K55" s="2157"/>
      <c r="L55" s="2157"/>
      <c r="M55" s="2157"/>
      <c r="N55" s="2160"/>
      <c r="O55" s="2157"/>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55"/>
      <c r="E56" s="2163"/>
      <c r="F56" s="2165"/>
      <c r="G56" s="2163"/>
      <c r="H56" s="2168"/>
      <c r="I56" s="2170"/>
      <c r="J56" s="2173"/>
      <c r="K56" s="2157"/>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55"/>
      <c r="E57" s="2163"/>
      <c r="F57" s="2166"/>
      <c r="G57" s="2163"/>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54">
        <v>9</v>
      </c>
      <c r="E58" s="2162" t="s">
        <v>209</v>
      </c>
      <c r="F58" s="2164" t="s">
        <v>19</v>
      </c>
      <c r="G58" s="2162"/>
      <c r="H58" s="2167"/>
      <c r="I58" s="2169"/>
      <c r="J58" s="2171"/>
      <c r="K58" s="2156"/>
      <c r="L58" s="2156"/>
      <c r="M58" s="2156"/>
      <c r="N58" s="2158"/>
      <c r="O58" s="2156"/>
      <c r="P58" s="2156"/>
      <c r="Q58" s="2156"/>
      <c r="R58" s="2161"/>
      <c r="S58" s="2156"/>
      <c r="T58" s="1928"/>
      <c r="U58" s="1928"/>
      <c r="V58" s="1930"/>
      <c r="W58" s="1296"/>
      <c r="X58" s="1267"/>
      <c r="Y58" s="1267"/>
      <c r="Z58" s="1267"/>
      <c r="AA58" s="1267"/>
      <c r="AB58" s="1267"/>
      <c r="AC58" s="1267" t="s">
        <v>210</v>
      </c>
      <c r="AD58" s="1267" t="s">
        <v>211</v>
      </c>
      <c r="AE58" s="1267" t="s">
        <v>212</v>
      </c>
      <c r="AF58" s="1267" t="s">
        <v>213</v>
      </c>
      <c r="AG58" s="1267" t="s">
        <v>214</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54"/>
      <c r="E59" s="2162"/>
      <c r="F59" s="2165"/>
      <c r="G59" s="2162"/>
      <c r="H59" s="2168"/>
      <c r="I59" s="2170"/>
      <c r="J59" s="2172"/>
      <c r="K59" s="2157"/>
      <c r="L59" s="2157"/>
      <c r="M59" s="2157"/>
      <c r="N59" s="2159"/>
      <c r="O59" s="2157"/>
      <c r="P59" s="2157"/>
      <c r="Q59" s="2157"/>
      <c r="R59" s="2160"/>
      <c r="S59" s="2157"/>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55"/>
      <c r="E60" s="2163"/>
      <c r="F60" s="2165"/>
      <c r="G60" s="2163"/>
      <c r="H60" s="2168"/>
      <c r="I60" s="2170"/>
      <c r="J60" s="2173"/>
      <c r="K60" s="2157"/>
      <c r="L60" s="2157"/>
      <c r="M60" s="2157"/>
      <c r="N60" s="2160"/>
      <c r="O60" s="2157"/>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55"/>
      <c r="E61" s="2163"/>
      <c r="F61" s="2165"/>
      <c r="G61" s="2163"/>
      <c r="H61" s="2168"/>
      <c r="I61" s="2170"/>
      <c r="J61" s="2173"/>
      <c r="K61" s="2157"/>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55"/>
      <c r="E62" s="2163"/>
      <c r="F62" s="2166"/>
      <c r="G62" s="2163"/>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54">
        <v>10</v>
      </c>
      <c r="E63" s="2162" t="s">
        <v>215</v>
      </c>
      <c r="F63" s="2164" t="s">
        <v>19</v>
      </c>
      <c r="G63" s="2162"/>
      <c r="H63" s="2167"/>
      <c r="I63" s="2169"/>
      <c r="J63" s="2171"/>
      <c r="K63" s="2156"/>
      <c r="L63" s="2156"/>
      <c r="M63" s="2156"/>
      <c r="N63" s="2158"/>
      <c r="O63" s="2156"/>
      <c r="P63" s="2156"/>
      <c r="Q63" s="2156"/>
      <c r="R63" s="2161"/>
      <c r="S63" s="2156"/>
      <c r="T63" s="1928"/>
      <c r="U63" s="1928"/>
      <c r="V63" s="1930"/>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54"/>
      <c r="E64" s="2162"/>
      <c r="F64" s="2165"/>
      <c r="G64" s="2162"/>
      <c r="H64" s="2168"/>
      <c r="I64" s="2170"/>
      <c r="J64" s="2172"/>
      <c r="K64" s="2157"/>
      <c r="L64" s="2157"/>
      <c r="M64" s="2157"/>
      <c r="N64" s="2159"/>
      <c r="O64" s="2157"/>
      <c r="P64" s="2157"/>
      <c r="Q64" s="2157"/>
      <c r="R64" s="2160"/>
      <c r="S64" s="2157"/>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55"/>
      <c r="E65" s="2163"/>
      <c r="F65" s="2165"/>
      <c r="G65" s="2163"/>
      <c r="H65" s="2168"/>
      <c r="I65" s="2170"/>
      <c r="J65" s="2173"/>
      <c r="K65" s="2157"/>
      <c r="L65" s="2157"/>
      <c r="M65" s="2157"/>
      <c r="N65" s="2160"/>
      <c r="O65" s="2157"/>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55"/>
      <c r="E66" s="2163"/>
      <c r="F66" s="2165"/>
      <c r="G66" s="2163"/>
      <c r="H66" s="2168"/>
      <c r="I66" s="2170"/>
      <c r="J66" s="2173"/>
      <c r="K66" s="2157"/>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55"/>
      <c r="E67" s="2163"/>
      <c r="F67" s="2166"/>
      <c r="G67" s="2163"/>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93" t="s">
        <v>221</v>
      </c>
      <c r="F69" s="2193"/>
      <c r="G69" s="2193"/>
      <c r="H69" s="2193"/>
      <c r="I69" s="2193"/>
      <c r="J69" s="2193"/>
      <c r="K69" s="2193"/>
      <c r="L69" s="2193"/>
      <c r="M69" s="2193"/>
      <c r="N69" s="2193"/>
      <c r="O69" s="2193"/>
      <c r="P69" s="2193"/>
      <c r="Q69" s="2193"/>
      <c r="R69" s="2193"/>
      <c r="S69" s="2193"/>
      <c r="T69" s="2193"/>
      <c r="U69" s="2193"/>
      <c r="V69" s="2193"/>
      <c r="W69" s="2193"/>
      <c r="AR69" s="104">
        <v>0</v>
      </c>
    </row>
    <row customHeight="1" ht="36.75">
      <c r="E70" s="2191" t="s">
        <v>222</v>
      </c>
      <c r="F70" s="2191"/>
      <c r="G70" s="2192"/>
      <c r="H70" s="2192"/>
      <c r="I70" s="2192"/>
      <c r="J70" s="2192"/>
      <c r="K70" s="2192"/>
      <c r="L70" s="2192"/>
      <c r="M70" s="2192"/>
      <c r="N70" s="2192"/>
      <c r="O70" s="2192"/>
      <c r="P70" s="2192"/>
      <c r="Q70" s="2192"/>
      <c r="R70" s="2192"/>
      <c r="S70" s="2192"/>
      <c r="T70" s="2192"/>
      <c r="U70" s="2192"/>
      <c r="V70" s="2192"/>
      <c r="W70" s="2192"/>
      <c r="AR70" s="104">
        <v>0</v>
      </c>
    </row>
    <row customHeight="1" ht="28.5">
      <c r="E71" s="2191" t="s">
        <v>223</v>
      </c>
      <c r="F71" s="2191"/>
      <c r="G71" s="2192"/>
      <c r="H71" s="2192"/>
      <c r="I71" s="2192"/>
      <c r="J71" s="2192"/>
      <c r="K71" s="2192"/>
      <c r="L71" s="2192"/>
      <c r="M71" s="2192"/>
      <c r="N71" s="2192"/>
      <c r="O71" s="2192"/>
      <c r="P71" s="2192"/>
      <c r="Q71" s="2192"/>
      <c r="R71" s="2192"/>
      <c r="S71" s="2192"/>
      <c r="T71" s="2192"/>
      <c r="U71" s="2192"/>
      <c r="V71" s="2192"/>
      <c r="W71" s="2192"/>
      <c r="AR71" s="104">
        <v>0</v>
      </c>
    </row>
    <row customHeight="1" ht="27">
      <c r="E72" s="2191" t="s">
        <v>224</v>
      </c>
      <c r="F72" s="2191"/>
      <c r="G72" s="2192"/>
      <c r="H72" s="2192"/>
      <c r="I72" s="2192"/>
      <c r="J72" s="2192"/>
      <c r="K72" s="2192"/>
      <c r="L72" s="2192"/>
      <c r="M72" s="2192"/>
      <c r="N72" s="2192"/>
      <c r="O72" s="2192"/>
      <c r="P72" s="2192"/>
      <c r="Q72" s="2192"/>
      <c r="R72" s="2192"/>
      <c r="S72" s="2192"/>
      <c r="T72" s="2192"/>
      <c r="U72" s="2192"/>
      <c r="V72" s="2192"/>
      <c r="W72" s="2192"/>
      <c r="AR72" s="104">
        <v>0</v>
      </c>
    </row>
    <row customHeight="1" ht="17.25">
      <c r="E73" s="2191" t="s">
        <v>225</v>
      </c>
      <c r="F73" s="2191"/>
      <c r="G73" s="2192"/>
      <c r="H73" s="2192"/>
      <c r="I73" s="2192"/>
      <c r="J73" s="2192"/>
      <c r="K73" s="2192"/>
      <c r="L73" s="2192"/>
      <c r="M73" s="2192"/>
      <c r="N73" s="2192"/>
      <c r="O73" s="2192"/>
      <c r="P73" s="2192"/>
      <c r="Q73" s="2192"/>
      <c r="R73" s="2192"/>
      <c r="S73" s="2192"/>
      <c r="T73" s="2192"/>
      <c r="U73" s="2192"/>
      <c r="V73" s="2192"/>
      <c r="W73" s="2192"/>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93" t="s">
        <v>226</v>
      </c>
      <c r="F75" s="2193"/>
      <c r="G75" s="2193"/>
      <c r="H75" s="2193"/>
      <c r="I75" s="2193"/>
      <c r="J75" s="2193"/>
      <c r="K75" s="2193"/>
      <c r="L75" s="2193"/>
      <c r="M75" s="2193"/>
      <c r="N75" s="2193"/>
      <c r="O75" s="2193"/>
      <c r="P75" s="2193"/>
      <c r="Q75" s="2193"/>
      <c r="R75" s="2193"/>
      <c r="S75" s="2193"/>
      <c r="T75" s="2193"/>
      <c r="U75" s="2193"/>
      <c r="V75" s="2193"/>
      <c r="W75" s="2193"/>
      <c r="AR75" s="104">
        <v>0</v>
      </c>
    </row>
    <row customHeight="1" ht="17.25">
      <c r="E76" s="2191" t="s">
        <v>227</v>
      </c>
      <c r="F76" s="2191"/>
      <c r="G76" s="2192"/>
      <c r="H76" s="2192"/>
      <c r="I76" s="2192"/>
      <c r="J76" s="2192"/>
      <c r="K76" s="2192"/>
      <c r="L76" s="2192"/>
      <c r="M76" s="2192"/>
      <c r="N76" s="2192"/>
      <c r="O76" s="2192"/>
      <c r="P76" s="2192"/>
      <c r="Q76" s="2192"/>
      <c r="R76" s="2192"/>
      <c r="S76" s="2192"/>
      <c r="T76" s="2192"/>
      <c r="U76" s="2192"/>
      <c r="V76" s="2192"/>
      <c r="W76" s="2192"/>
      <c r="AR76" s="104">
        <v>0</v>
      </c>
    </row>
    <row customHeight="1" ht="17.25">
      <c r="E77" s="2191" t="s">
        <v>228</v>
      </c>
      <c r="F77" s="2191"/>
      <c r="G77" s="2192"/>
      <c r="H77" s="2192"/>
      <c r="I77" s="2192"/>
      <c r="J77" s="2192"/>
      <c r="K77" s="2192"/>
      <c r="L77" s="2192"/>
      <c r="M77" s="2192"/>
      <c r="N77" s="2192"/>
      <c r="O77" s="2192"/>
      <c r="P77" s="2192"/>
      <c r="Q77" s="2192"/>
      <c r="R77" s="2192"/>
      <c r="S77" s="2192"/>
      <c r="T77" s="2192"/>
      <c r="U77" s="2192"/>
      <c r="V77" s="2192"/>
      <c r="W77" s="2192"/>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54">
        <v>1</v>
      </c>
      <c r="E79" s="2162" t="s">
        <v>229</v>
      </c>
      <c r="F79" s="2164" t="s">
        <v>19</v>
      </c>
      <c r="G79" s="2162"/>
      <c r="H79" s="2167"/>
      <c r="I79" s="2169"/>
      <c r="J79" s="2171"/>
      <c r="K79" s="2156"/>
      <c r="L79" s="2156"/>
      <c r="M79" s="2156"/>
      <c r="N79" s="2158"/>
      <c r="O79" s="2156"/>
      <c r="P79" s="2156"/>
      <c r="Q79" s="2156"/>
      <c r="R79" s="2161"/>
      <c r="S79" s="2156"/>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54"/>
      <c r="E80" s="2162"/>
      <c r="F80" s="2165"/>
      <c r="G80" s="2162"/>
      <c r="H80" s="2168"/>
      <c r="I80" s="2170"/>
      <c r="J80" s="2172"/>
      <c r="K80" s="2157"/>
      <c r="L80" s="2157"/>
      <c r="M80" s="2157"/>
      <c r="N80" s="2159"/>
      <c r="O80" s="2157"/>
      <c r="P80" s="2157"/>
      <c r="Q80" s="2157"/>
      <c r="R80" s="2160"/>
      <c r="S80" s="2157"/>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54"/>
      <c r="E81" s="2162"/>
      <c r="F81" s="2165"/>
      <c r="G81" s="2162"/>
      <c r="H81" s="2168"/>
      <c r="I81" s="2170"/>
      <c r="J81" s="2173"/>
      <c r="K81" s="2157"/>
      <c r="L81" s="2157"/>
      <c r="M81" s="2157"/>
      <c r="N81" s="2160"/>
      <c r="O81" s="2157"/>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54"/>
      <c r="E82" s="2162"/>
      <c r="F82" s="2165"/>
      <c r="G82" s="2162"/>
      <c r="H82" s="2168"/>
      <c r="I82" s="2170"/>
      <c r="J82" s="2173"/>
      <c r="K82" s="2157"/>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55"/>
      <c r="E83" s="2163"/>
      <c r="F83" s="2166"/>
      <c r="G83" s="2163"/>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54">
        <v>2</v>
      </c>
      <c r="E84" s="2162" t="s">
        <v>234</v>
      </c>
      <c r="F84" s="2164" t="s">
        <v>19</v>
      </c>
      <c r="G84" s="2162"/>
      <c r="H84" s="2167"/>
      <c r="I84" s="2169"/>
      <c r="J84" s="2171"/>
      <c r="K84" s="2156"/>
      <c r="L84" s="2156"/>
      <c r="M84" s="2156"/>
      <c r="N84" s="2158"/>
      <c r="O84" s="2156"/>
      <c r="P84" s="2156"/>
      <c r="Q84" s="2156"/>
      <c r="R84" s="2161"/>
      <c r="S84" s="2156"/>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54"/>
      <c r="E85" s="2162"/>
      <c r="F85" s="2165"/>
      <c r="G85" s="2162"/>
      <c r="H85" s="2168"/>
      <c r="I85" s="2170"/>
      <c r="J85" s="2172"/>
      <c r="K85" s="2157"/>
      <c r="L85" s="2157"/>
      <c r="M85" s="2157"/>
      <c r="N85" s="2159"/>
      <c r="O85" s="2157"/>
      <c r="P85" s="2157"/>
      <c r="Q85" s="2157"/>
      <c r="R85" s="2160"/>
      <c r="S85" s="2157"/>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55"/>
      <c r="E86" s="2163"/>
      <c r="F86" s="2165"/>
      <c r="G86" s="2163"/>
      <c r="H86" s="2168"/>
      <c r="I86" s="2170"/>
      <c r="J86" s="2173"/>
      <c r="K86" s="2157"/>
      <c r="L86" s="2157"/>
      <c r="M86" s="2157"/>
      <c r="N86" s="2160"/>
      <c r="O86" s="2157"/>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55"/>
      <c r="E87" s="2163"/>
      <c r="F87" s="2165"/>
      <c r="G87" s="2163"/>
      <c r="H87" s="2168"/>
      <c r="I87" s="2170"/>
      <c r="J87" s="2173"/>
      <c r="K87" s="2157"/>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55"/>
      <c r="E88" s="2163"/>
      <c r="F88" s="2166"/>
      <c r="G88" s="2163"/>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54">
        <v>3</v>
      </c>
      <c r="E89" s="2162" t="s">
        <v>239</v>
      </c>
      <c r="F89" s="2164" t="s">
        <v>19</v>
      </c>
      <c r="G89" s="2162"/>
      <c r="H89" s="2167"/>
      <c r="I89" s="2169"/>
      <c r="J89" s="2171"/>
      <c r="K89" s="2156"/>
      <c r="L89" s="2156"/>
      <c r="M89" s="2156"/>
      <c r="N89" s="2158"/>
      <c r="O89" s="2156"/>
      <c r="P89" s="2156"/>
      <c r="Q89" s="2156"/>
      <c r="R89" s="2161"/>
      <c r="S89" s="2156"/>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54"/>
      <c r="E90" s="2162"/>
      <c r="F90" s="2165"/>
      <c r="G90" s="2162"/>
      <c r="H90" s="2168"/>
      <c r="I90" s="2170"/>
      <c r="J90" s="2172"/>
      <c r="K90" s="2157"/>
      <c r="L90" s="2157"/>
      <c r="M90" s="2157"/>
      <c r="N90" s="2159"/>
      <c r="O90" s="2157"/>
      <c r="P90" s="2157"/>
      <c r="Q90" s="2157"/>
      <c r="R90" s="2160"/>
      <c r="S90" s="2157"/>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55"/>
      <c r="E91" s="2163"/>
      <c r="F91" s="2165"/>
      <c r="G91" s="2163"/>
      <c r="H91" s="2168"/>
      <c r="I91" s="2170"/>
      <c r="J91" s="2173"/>
      <c r="K91" s="2157"/>
      <c r="L91" s="2157"/>
      <c r="M91" s="2157"/>
      <c r="N91" s="2160"/>
      <c r="O91" s="2157"/>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55"/>
      <c r="E92" s="2163"/>
      <c r="F92" s="2165"/>
      <c r="G92" s="2163"/>
      <c r="H92" s="2168"/>
      <c r="I92" s="2170"/>
      <c r="J92" s="2173"/>
      <c r="K92" s="2157"/>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55"/>
      <c r="E93" s="2163"/>
      <c r="F93" s="2166"/>
      <c r="G93" s="2163"/>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54">
        <v>4</v>
      </c>
      <c r="E94" s="2162" t="s">
        <v>244</v>
      </c>
      <c r="F94" s="2164" t="s">
        <v>19</v>
      </c>
      <c r="G94" s="2162"/>
      <c r="H94" s="2167"/>
      <c r="I94" s="2169"/>
      <c r="J94" s="2171"/>
      <c r="K94" s="2156"/>
      <c r="L94" s="2156"/>
      <c r="M94" s="2156"/>
      <c r="N94" s="2158"/>
      <c r="O94" s="2156"/>
      <c r="P94" s="2156"/>
      <c r="Q94" s="2156"/>
      <c r="R94" s="2161"/>
      <c r="S94" s="2156"/>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54"/>
      <c r="E95" s="2162"/>
      <c r="F95" s="2165"/>
      <c r="G95" s="2162"/>
      <c r="H95" s="2168"/>
      <c r="I95" s="2170"/>
      <c r="J95" s="2172"/>
      <c r="K95" s="2157"/>
      <c r="L95" s="2157"/>
      <c r="M95" s="2157"/>
      <c r="N95" s="2159"/>
      <c r="O95" s="2157"/>
      <c r="P95" s="2157"/>
      <c r="Q95" s="2157"/>
      <c r="R95" s="2160"/>
      <c r="S95" s="2157"/>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55"/>
      <c r="E96" s="2163"/>
      <c r="F96" s="2165"/>
      <c r="G96" s="2163"/>
      <c r="H96" s="2168"/>
      <c r="I96" s="2170"/>
      <c r="J96" s="2173"/>
      <c r="K96" s="2157"/>
      <c r="L96" s="2157"/>
      <c r="M96" s="2157"/>
      <c r="N96" s="2160"/>
      <c r="O96" s="2157"/>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55"/>
      <c r="E97" s="2163"/>
      <c r="F97" s="2165"/>
      <c r="G97" s="2163"/>
      <c r="H97" s="2168"/>
      <c r="I97" s="2170"/>
      <c r="J97" s="2173"/>
      <c r="K97" s="2157"/>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55"/>
      <c r="E98" s="2163"/>
      <c r="F98" s="2166"/>
      <c r="G98" s="2163"/>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54">
        <v>5</v>
      </c>
      <c r="E99" s="2162" t="s">
        <v>249</v>
      </c>
      <c r="F99" s="2164" t="s">
        <v>19</v>
      </c>
      <c r="G99" s="2162"/>
      <c r="H99" s="2167"/>
      <c r="I99" s="2169"/>
      <c r="J99" s="2171"/>
      <c r="K99" s="2156"/>
      <c r="L99" s="2156"/>
      <c r="M99" s="2156"/>
      <c r="N99" s="2158"/>
      <c r="O99" s="2156"/>
      <c r="P99" s="2156"/>
      <c r="Q99" s="2156"/>
      <c r="R99" s="2161"/>
      <c r="S99" s="2156"/>
      <c r="T99" s="1940"/>
      <c r="U99" s="1940"/>
      <c r="V99" s="1942"/>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54"/>
      <c r="E100" s="2162"/>
      <c r="F100" s="2165"/>
      <c r="G100" s="2162"/>
      <c r="H100" s="2168"/>
      <c r="I100" s="2170"/>
      <c r="J100" s="2172"/>
      <c r="K100" s="2157"/>
      <c r="L100" s="2157"/>
      <c r="M100" s="2157"/>
      <c r="N100" s="2159"/>
      <c r="O100" s="2157"/>
      <c r="P100" s="2157"/>
      <c r="Q100" s="2157"/>
      <c r="R100" s="2160"/>
      <c r="S100" s="2157"/>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55"/>
      <c r="E101" s="2163"/>
      <c r="F101" s="2165"/>
      <c r="G101" s="2163"/>
      <c r="H101" s="2168"/>
      <c r="I101" s="2170"/>
      <c r="J101" s="2173"/>
      <c r="K101" s="2157"/>
      <c r="L101" s="2157"/>
      <c r="M101" s="2157"/>
      <c r="N101" s="2160"/>
      <c r="O101" s="2157"/>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55"/>
      <c r="E102" s="2163"/>
      <c r="F102" s="2165"/>
      <c r="G102" s="2163"/>
      <c r="H102" s="2168"/>
      <c r="I102" s="2170"/>
      <c r="J102" s="2173"/>
      <c r="K102" s="2157"/>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55"/>
      <c r="E103" s="2163"/>
      <c r="F103" s="2166"/>
      <c r="G103" s="2163"/>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54">
        <v>1</v>
      </c>
      <c r="E105" s="2162" t="s">
        <v>254</v>
      </c>
      <c r="F105" s="2164" t="s">
        <v>19</v>
      </c>
      <c r="G105" s="2162"/>
      <c r="H105" s="2167"/>
      <c r="I105" s="2169"/>
      <c r="J105" s="2171"/>
      <c r="K105" s="2156"/>
      <c r="L105" s="2156"/>
      <c r="M105" s="2156"/>
      <c r="N105" s="2158"/>
      <c r="O105" s="2156"/>
      <c r="P105" s="2156"/>
      <c r="Q105" s="2156"/>
      <c r="R105" s="2161"/>
      <c r="S105" s="2156"/>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54"/>
      <c r="E106" s="2162"/>
      <c r="F106" s="2165"/>
      <c r="G106" s="2162"/>
      <c r="H106" s="2168"/>
      <c r="I106" s="2170"/>
      <c r="J106" s="2172"/>
      <c r="K106" s="2157"/>
      <c r="L106" s="2157"/>
      <c r="M106" s="2157"/>
      <c r="N106" s="2159"/>
      <c r="O106" s="2157"/>
      <c r="P106" s="2157"/>
      <c r="Q106" s="2157"/>
      <c r="R106" s="2160"/>
      <c r="S106" s="2157"/>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54"/>
      <c r="E107" s="2162"/>
      <c r="F107" s="2165"/>
      <c r="G107" s="2162"/>
      <c r="H107" s="2168"/>
      <c r="I107" s="2170"/>
      <c r="J107" s="2173"/>
      <c r="K107" s="2157"/>
      <c r="L107" s="2157"/>
      <c r="M107" s="2157"/>
      <c r="N107" s="2160"/>
      <c r="O107" s="2157"/>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54"/>
      <c r="E108" s="2162"/>
      <c r="F108" s="2165"/>
      <c r="G108" s="2162"/>
      <c r="H108" s="2168"/>
      <c r="I108" s="2170"/>
      <c r="J108" s="2173"/>
      <c r="K108" s="2157"/>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55"/>
      <c r="E109" s="2163"/>
      <c r="F109" s="2166"/>
      <c r="G109" s="2163"/>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54">
        <v>2</v>
      </c>
      <c r="E110" s="2162" t="s">
        <v>259</v>
      </c>
      <c r="F110" s="2164" t="s">
        <v>19</v>
      </c>
      <c r="G110" s="2162"/>
      <c r="H110" s="2167"/>
      <c r="I110" s="2169"/>
      <c r="J110" s="2171"/>
      <c r="K110" s="2156"/>
      <c r="L110" s="2156"/>
      <c r="M110" s="2156"/>
      <c r="N110" s="2158"/>
      <c r="O110" s="2156"/>
      <c r="P110" s="2156"/>
      <c r="Q110" s="2156"/>
      <c r="R110" s="2161"/>
      <c r="S110" s="2156"/>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54"/>
      <c r="E111" s="2162"/>
      <c r="F111" s="2165"/>
      <c r="G111" s="2162"/>
      <c r="H111" s="2168"/>
      <c r="I111" s="2170"/>
      <c r="J111" s="2172"/>
      <c r="K111" s="2157"/>
      <c r="L111" s="2157"/>
      <c r="M111" s="2157"/>
      <c r="N111" s="2159"/>
      <c r="O111" s="2157"/>
      <c r="P111" s="2157"/>
      <c r="Q111" s="2157"/>
      <c r="R111" s="2160"/>
      <c r="S111" s="2157"/>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55"/>
      <c r="E112" s="2163"/>
      <c r="F112" s="2165"/>
      <c r="G112" s="2163"/>
      <c r="H112" s="2168"/>
      <c r="I112" s="2170"/>
      <c r="J112" s="2173"/>
      <c r="K112" s="2157"/>
      <c r="L112" s="2157"/>
      <c r="M112" s="2157"/>
      <c r="N112" s="2160"/>
      <c r="O112" s="2157"/>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55"/>
      <c r="E113" s="2163"/>
      <c r="F113" s="2165"/>
      <c r="G113" s="2163"/>
      <c r="H113" s="2168"/>
      <c r="I113" s="2170"/>
      <c r="J113" s="2173"/>
      <c r="K113" s="2157"/>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55"/>
      <c r="E114" s="2163"/>
      <c r="F114" s="2166"/>
      <c r="G114" s="2163"/>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54">
        <v>3</v>
      </c>
      <c r="E115" s="2162" t="s">
        <v>264</v>
      </c>
      <c r="F115" s="2164" t="s">
        <v>19</v>
      </c>
      <c r="G115" s="2162"/>
      <c r="H115" s="2167"/>
      <c r="I115" s="2169"/>
      <c r="J115" s="2171"/>
      <c r="K115" s="2156"/>
      <c r="L115" s="2156"/>
      <c r="M115" s="2156"/>
      <c r="N115" s="2158"/>
      <c r="O115" s="2156"/>
      <c r="P115" s="2156"/>
      <c r="Q115" s="2156"/>
      <c r="R115" s="2161"/>
      <c r="S115" s="2156"/>
      <c r="T115" s="1940"/>
      <c r="U115" s="1940"/>
      <c r="V115" s="1942"/>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54"/>
      <c r="E116" s="2162"/>
      <c r="F116" s="2165"/>
      <c r="G116" s="2162"/>
      <c r="H116" s="2168"/>
      <c r="I116" s="2170"/>
      <c r="J116" s="2172"/>
      <c r="K116" s="2157"/>
      <c r="L116" s="2157"/>
      <c r="M116" s="2157"/>
      <c r="N116" s="2159"/>
      <c r="O116" s="2157"/>
      <c r="P116" s="2157"/>
      <c r="Q116" s="2157"/>
      <c r="R116" s="2160"/>
      <c r="S116" s="2157"/>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55"/>
      <c r="E117" s="2163"/>
      <c r="F117" s="2165"/>
      <c r="G117" s="2163"/>
      <c r="H117" s="2168"/>
      <c r="I117" s="2170"/>
      <c r="J117" s="2173"/>
      <c r="K117" s="2157"/>
      <c r="L117" s="2157"/>
      <c r="M117" s="2157"/>
      <c r="N117" s="2160"/>
      <c r="O117" s="2157"/>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55"/>
      <c r="E118" s="2163"/>
      <c r="F118" s="2165"/>
      <c r="G118" s="2163"/>
      <c r="H118" s="2168"/>
      <c r="I118" s="2170"/>
      <c r="J118" s="2173"/>
      <c r="K118" s="2157"/>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55"/>
      <c r="E119" s="2163"/>
      <c r="F119" s="2166"/>
      <c r="G119" s="2163"/>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54">
        <v>1</v>
      </c>
      <c r="E121" s="2162" t="s">
        <v>269</v>
      </c>
      <c r="F121" s="2164" t="s">
        <v>19</v>
      </c>
      <c r="G121" s="2162"/>
      <c r="H121" s="2167"/>
      <c r="I121" s="2169"/>
      <c r="J121" s="2171"/>
      <c r="K121" s="2156"/>
      <c r="L121" s="2156"/>
      <c r="M121" s="2156"/>
      <c r="N121" s="2158"/>
      <c r="O121" s="2156"/>
      <c r="P121" s="2156"/>
      <c r="Q121" s="2156"/>
      <c r="R121" s="2161"/>
      <c r="S121" s="2156"/>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54"/>
      <c r="E122" s="2162"/>
      <c r="F122" s="2165"/>
      <c r="G122" s="2162"/>
      <c r="H122" s="2168"/>
      <c r="I122" s="2170"/>
      <c r="J122" s="2172"/>
      <c r="K122" s="2157"/>
      <c r="L122" s="2157"/>
      <c r="M122" s="2157"/>
      <c r="N122" s="2159"/>
      <c r="O122" s="2157"/>
      <c r="P122" s="2157"/>
      <c r="Q122" s="2157"/>
      <c r="R122" s="2160"/>
      <c r="S122" s="2157"/>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54"/>
      <c r="E123" s="2162"/>
      <c r="F123" s="2165"/>
      <c r="G123" s="2162"/>
      <c r="H123" s="2168"/>
      <c r="I123" s="2170"/>
      <c r="J123" s="2173"/>
      <c r="K123" s="2157"/>
      <c r="L123" s="2157"/>
      <c r="M123" s="2157"/>
      <c r="N123" s="2160"/>
      <c r="O123" s="2157"/>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54"/>
      <c r="E124" s="2162"/>
      <c r="F124" s="2165"/>
      <c r="G124" s="2162"/>
      <c r="H124" s="2168"/>
      <c r="I124" s="2170"/>
      <c r="J124" s="2173"/>
      <c r="K124" s="2157"/>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55"/>
      <c r="E125" s="2163"/>
      <c r="F125" s="2166"/>
      <c r="G125" s="2163"/>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54">
        <v>2</v>
      </c>
      <c r="E126" s="2162" t="s">
        <v>274</v>
      </c>
      <c r="F126" s="2164" t="s">
        <v>19</v>
      </c>
      <c r="G126" s="2162"/>
      <c r="H126" s="2167"/>
      <c r="I126" s="2169"/>
      <c r="J126" s="2171"/>
      <c r="K126" s="2156"/>
      <c r="L126" s="2156"/>
      <c r="M126" s="2156"/>
      <c r="N126" s="2158"/>
      <c r="O126" s="2156"/>
      <c r="P126" s="2156"/>
      <c r="Q126" s="2156"/>
      <c r="R126" s="2161"/>
      <c r="S126" s="2156"/>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54"/>
      <c r="E127" s="2162"/>
      <c r="F127" s="2165"/>
      <c r="G127" s="2162"/>
      <c r="H127" s="2168"/>
      <c r="I127" s="2170"/>
      <c r="J127" s="2172"/>
      <c r="K127" s="2157"/>
      <c r="L127" s="2157"/>
      <c r="M127" s="2157"/>
      <c r="N127" s="2159"/>
      <c r="O127" s="2157"/>
      <c r="P127" s="2157"/>
      <c r="Q127" s="2157"/>
      <c r="R127" s="2160"/>
      <c r="S127" s="2157"/>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55"/>
      <c r="E128" s="2163"/>
      <c r="F128" s="2165"/>
      <c r="G128" s="2163"/>
      <c r="H128" s="2168"/>
      <c r="I128" s="2170"/>
      <c r="J128" s="2173"/>
      <c r="K128" s="2157"/>
      <c r="L128" s="2157"/>
      <c r="M128" s="2157"/>
      <c r="N128" s="2160"/>
      <c r="O128" s="2157"/>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55"/>
      <c r="E129" s="2163"/>
      <c r="F129" s="2165"/>
      <c r="G129" s="2163"/>
      <c r="H129" s="2168"/>
      <c r="I129" s="2170"/>
      <c r="J129" s="2173"/>
      <c r="K129" s="2157"/>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55"/>
      <c r="E130" s="2163"/>
      <c r="F130" s="2166"/>
      <c r="G130" s="2163"/>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54">
        <v>3</v>
      </c>
      <c r="E131" s="2162" t="s">
        <v>279</v>
      </c>
      <c r="F131" s="2164" t="s">
        <v>19</v>
      </c>
      <c r="G131" s="2162"/>
      <c r="H131" s="2167"/>
      <c r="I131" s="2169"/>
      <c r="J131" s="2171"/>
      <c r="K131" s="2156"/>
      <c r="L131" s="2156"/>
      <c r="M131" s="2156"/>
      <c r="N131" s="2158"/>
      <c r="O131" s="2156"/>
      <c r="P131" s="2156"/>
      <c r="Q131" s="2156"/>
      <c r="R131" s="2161"/>
      <c r="S131" s="2156"/>
      <c r="T131" s="1940"/>
      <c r="U131" s="1940"/>
      <c r="V131" s="1942"/>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54"/>
      <c r="E132" s="2162"/>
      <c r="F132" s="2165"/>
      <c r="G132" s="2162"/>
      <c r="H132" s="2168"/>
      <c r="I132" s="2170"/>
      <c r="J132" s="2172"/>
      <c r="K132" s="2157"/>
      <c r="L132" s="2157"/>
      <c r="M132" s="2157"/>
      <c r="N132" s="2159"/>
      <c r="O132" s="2157"/>
      <c r="P132" s="2157"/>
      <c r="Q132" s="2157"/>
      <c r="R132" s="2160"/>
      <c r="S132" s="2157"/>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55"/>
      <c r="E133" s="2163"/>
      <c r="F133" s="2165"/>
      <c r="G133" s="2163"/>
      <c r="H133" s="2168"/>
      <c r="I133" s="2170"/>
      <c r="J133" s="2173"/>
      <c r="K133" s="2157"/>
      <c r="L133" s="2157"/>
      <c r="M133" s="2157"/>
      <c r="N133" s="2160"/>
      <c r="O133" s="2157"/>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55"/>
      <c r="E134" s="2163"/>
      <c r="F134" s="2165"/>
      <c r="G134" s="2163"/>
      <c r="H134" s="2168"/>
      <c r="I134" s="2170"/>
      <c r="J134" s="2173"/>
      <c r="K134" s="2157"/>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55"/>
      <c r="E135" s="2163"/>
      <c r="F135" s="2166"/>
      <c r="G135" s="2163"/>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DCEB8-D1EF-4C13-EC28-A213A6015C74}"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56" t="s">
        <v>1242</v>
      </c>
      <c r="E5" s="2256"/>
      <c r="F5" s="2256"/>
      <c r="G5" s="2256"/>
      <c r="H5" s="2256"/>
      <c r="I5" s="2256"/>
      <c r="J5" s="2256"/>
      <c r="K5" s="2267"/>
      <c r="L5" s="2267"/>
      <c r="M5" s="2267"/>
      <c r="N5" s="2267"/>
      <c r="Z5" s="505">
        <v>63</v>
      </c>
    </row>
    <row customHeight="1" ht="15.75">
      <c r="C6" s="176"/>
      <c r="D6" s="2195" t="str">
        <f>IF(org=0,"Не определено",org)</f>
        <v>Муниципальное унитарное предприятие "Невельские коммунальные сети"</v>
      </c>
      <c r="E6" s="2195"/>
      <c r="F6" s="2195"/>
      <c r="G6" s="2195"/>
      <c r="H6" s="2195"/>
      <c r="I6" s="2195"/>
      <c r="J6" s="2195"/>
      <c r="K6" s="2268"/>
      <c r="L6" s="2268"/>
      <c r="M6" s="2268"/>
      <c r="N6" s="2268"/>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118</v>
      </c>
      <c r="J8" s="752"/>
      <c r="K8" s="1366" t="s">
        <v>123</v>
      </c>
      <c r="L8" s="752"/>
      <c r="M8" s="1366" t="s">
        <v>125</v>
      </c>
      <c r="N8" s="752"/>
      <c r="O8" s="417"/>
      <c r="Y8" s="675"/>
      <c r="Z8" s="758">
        <v>1</v>
      </c>
    </row>
    <row customHeight="1" ht="15.75">
      <c r="C9" s="176"/>
      <c r="D9" s="711"/>
      <c r="E9" s="2386" t="s">
        <v>106</v>
      </c>
      <c r="F9" s="2387"/>
      <c r="G9" s="2414" t="str">
        <f>IF(G8="","",INDEX(DIFFERENTIATION_UNMERGE_VD,MATCH(G8,DIFFERENTIATION_ID_DIFF,0)))</f>
        <v/>
      </c>
      <c r="H9" s="2415"/>
      <c r="I9" s="2414" t="str">
        <f>IF(I8="","",INDEX(DIFFERENTIATION_UNMERGE_VD,MATCH(I8,DIFFERENTIATION_ID_DIFF,0)))</f>
        <v>Производство тепловой энергии. Некомбинированная выработка</v>
      </c>
      <c r="J9" s="2415"/>
      <c r="K9" s="2414" t="str">
        <f>IF(K8="","",INDEX(DIFFERENTIATION_UNMERGE_VD,MATCH(K8,DIFFERENTIATION_ID_DIFF,0)))</f>
        <v>Производство тепловой энергии. Некомбинированная выработка</v>
      </c>
      <c r="L9" s="2415"/>
      <c r="M9" s="2414" t="str">
        <f>IF(M8="","",INDEX(DIFFERENTIATION_UNMERGE_VD,MATCH(M8,DIFFERENTIATION_ID_DIFF,0)))</f>
        <v>Производство тепловой энергии. Некомбинированная выработка</v>
      </c>
      <c r="N9" s="2415"/>
      <c r="O9" s="2194" t="s">
        <v>306</v>
      </c>
      <c r="Z9" s="505">
        <v>15</v>
      </c>
    </row>
    <row s="1635" customFormat="1" customHeight="1" ht="15.75">
      <c r="A10" s="759"/>
      <c r="C10" s="176"/>
      <c r="D10" s="711"/>
      <c r="E10" s="2386" t="s">
        <v>567</v>
      </c>
      <c r="F10" s="2387"/>
      <c r="G10" s="2414" t="str">
        <f>IF(G8="","",INDEX(DIFFERENTIATION_UNMERGE_AREA,MATCH(G8,DIFFERENTIATION_ID_DIFF,0)))</f>
        <v/>
      </c>
      <c r="H10" s="2415"/>
      <c r="I10" s="2414" t="str">
        <f>IF(I8="","",INDEX(DIFFERENTIATION_UNMERGE_AREA,MATCH(I8,DIFFERENTIATION_ID_DIFF,0)))</f>
        <v>Территория 1</v>
      </c>
      <c r="J10" s="2415"/>
      <c r="K10" s="2414" t="str">
        <f>IF(K8="","",INDEX(DIFFERENTIATION_UNMERGE_AREA,MATCH(K8,DIFFERENTIATION_ID_DIFF,0)))</f>
        <v>Территория 1</v>
      </c>
      <c r="L10" s="2415"/>
      <c r="M10" s="2414" t="str">
        <f>IF(M8="","",INDEX(DIFFERENTIATION_UNMERGE_AREA,MATCH(M8,DIFFERENTIATION_ID_DIFF,0)))</f>
        <v>Территория 1</v>
      </c>
      <c r="N10" s="2415"/>
      <c r="O10" s="2218"/>
      <c r="Y10" s="675"/>
      <c r="Z10" s="758">
        <v>15</v>
      </c>
    </row>
    <row s="1635" customFormat="1" customHeight="1" ht="15.75">
      <c r="A11" s="759"/>
      <c r="C11" s="176"/>
      <c r="D11" s="711"/>
      <c r="E11" s="2386" t="s">
        <v>568</v>
      </c>
      <c r="F11" s="2387"/>
      <c r="G11" s="2414" t="str">
        <f>IF(G8="","",INDEX(DIFFERENTIATION_UNMERGE_SYSTEM,MATCH(G8,DIFFERENTIATION_ID_DIFF,0)))</f>
        <v/>
      </c>
      <c r="H11" s="2415"/>
      <c r="I11" s="2414" t="str">
        <f>IF(I8="","",INDEX(DIFFERENTIATION_UNMERGE_SYSTEM,MATCH(I8,DIFFERENTIATION_ID_DIFF,0)))</f>
        <v>Теплоснабжение за исключением сел Горнозаводск и Шебунино</v>
      </c>
      <c r="J11" s="2415"/>
      <c r="K11" s="2414" t="str">
        <f>IF(K8="","",INDEX(DIFFERENTIATION_UNMERGE_SYSTEM,MATCH(K8,DIFFERENTIATION_ID_DIFF,0)))</f>
        <v>Теплоснабжение с.Горнозаводск</v>
      </c>
      <c r="L11" s="2415"/>
      <c r="M11" s="2414" t="str">
        <f>IF(M8="","",INDEX(DIFFERENTIATION_UNMERGE_SYSTEM,MATCH(M8,DIFFERENTIATION_ID_DIFF,0)))</f>
        <v>Теплоснабжение с.Шебунино</v>
      </c>
      <c r="N11" s="2415"/>
      <c r="O11" s="2218"/>
      <c r="Y11" s="675"/>
      <c r="Z11" s="758">
        <v>15</v>
      </c>
    </row>
    <row s="1635" customFormat="1" customHeight="1" ht="15.75">
      <c r="A12" s="759"/>
      <c r="C12" s="176"/>
      <c r="D12" s="2388" t="s">
        <v>305</v>
      </c>
      <c r="E12" s="2389"/>
      <c r="F12" s="2389"/>
      <c r="G12" s="887"/>
      <c r="H12" s="887"/>
      <c r="I12" s="887"/>
      <c r="J12" s="887"/>
      <c r="K12" s="2386"/>
      <c r="L12" s="2386"/>
      <c r="M12" s="2386"/>
      <c r="N12" s="2386"/>
      <c r="O12" s="2218"/>
      <c r="Y12" s="675"/>
      <c r="Z12" s="758">
        <v>15</v>
      </c>
    </row>
    <row customHeight="1" ht="35.699999999999996">
      <c r="C13" s="176"/>
      <c r="D13" s="805" t="s">
        <v>89</v>
      </c>
      <c r="E13" s="807" t="s">
        <v>307</v>
      </c>
      <c r="F13" s="807" t="s">
        <v>569</v>
      </c>
      <c r="G13" s="808" t="s">
        <v>308</v>
      </c>
      <c r="H13" s="807" t="s">
        <v>395</v>
      </c>
      <c r="I13" s="808" t="s">
        <v>308</v>
      </c>
      <c r="J13" s="807" t="s">
        <v>395</v>
      </c>
      <c r="K13" s="2281" t="s">
        <v>308</v>
      </c>
      <c r="L13" s="2331" t="s">
        <v>395</v>
      </c>
      <c r="M13" s="2281" t="s">
        <v>308</v>
      </c>
      <c r="N13" s="2331" t="s">
        <v>395</v>
      </c>
      <c r="O13" s="2251"/>
      <c r="Z13" s="505">
        <v>34</v>
      </c>
    </row>
    <row customHeight="1" ht="15" hidden="1">
      <c r="C14" s="176"/>
      <c r="D14" s="593" t="s">
        <v>110</v>
      </c>
      <c r="E14" s="593" t="s">
        <v>111</v>
      </c>
      <c r="F14" s="593" t="s">
        <v>91</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852</v>
      </c>
      <c r="F15" s="521" t="s">
        <v>853</v>
      </c>
      <c r="G15" s="678"/>
      <c r="H15" s="678"/>
      <c r="I15" s="678"/>
      <c r="J15" s="678"/>
      <c r="K15" s="678"/>
      <c r="L15" s="678"/>
      <c r="M15" s="678"/>
      <c r="N15" s="678"/>
      <c r="O15" s="289" t="s">
        <v>854</v>
      </c>
      <c r="Z15" s="505">
        <v>0</v>
      </c>
    </row>
    <row customHeight="1" ht="22.5" hidden="1">
      <c r="A16" s="505"/>
      <c r="C16" s="526"/>
      <c r="D16" s="521">
        <v>2</v>
      </c>
      <c r="E16" s="279" t="s">
        <v>855</v>
      </c>
      <c r="F16" s="521" t="s">
        <v>856</v>
      </c>
      <c r="G16" s="678"/>
      <c r="H16" s="678"/>
      <c r="I16" s="678"/>
      <c r="J16" s="678"/>
      <c r="K16" s="678"/>
      <c r="L16" s="678"/>
      <c r="M16" s="678"/>
      <c r="N16" s="678"/>
      <c r="O16" s="289" t="s">
        <v>857</v>
      </c>
      <c r="Z16" s="505">
        <v>0</v>
      </c>
    </row>
    <row customHeight="1" ht="123.75" hidden="1">
      <c r="A17" s="505"/>
      <c r="C17" s="526"/>
      <c r="D17" s="521">
        <v>3</v>
      </c>
      <c r="E17" s="279" t="s">
        <v>1243</v>
      </c>
      <c r="F17" s="521" t="s">
        <v>311</v>
      </c>
      <c r="G17" s="678"/>
      <c r="H17" s="678"/>
      <c r="I17" s="678"/>
      <c r="J17" s="678"/>
      <c r="K17" s="678"/>
      <c r="L17" s="678"/>
      <c r="M17" s="678"/>
      <c r="N17" s="678"/>
      <c r="O17" s="289" t="s">
        <v>1244</v>
      </c>
      <c r="Z17" s="505">
        <v>0</v>
      </c>
    </row>
    <row customHeight="1" ht="48.29999999999999">
      <c r="A18" s="505"/>
      <c r="C18" s="526"/>
      <c r="D18" s="521">
        <v>3</v>
      </c>
      <c r="E18" s="279" t="s">
        <v>858</v>
      </c>
      <c r="F18" s="521" t="s">
        <v>311</v>
      </c>
      <c r="G18" s="809" t="s">
        <v>311</v>
      </c>
      <c r="H18" s="810" t="s">
        <v>311</v>
      </c>
      <c r="I18" s="521" t="s">
        <v>311</v>
      </c>
      <c r="J18" s="578" t="s">
        <v>311</v>
      </c>
      <c r="K18" s="2331" t="s">
        <v>311</v>
      </c>
      <c r="L18" s="2279" t="s">
        <v>311</v>
      </c>
      <c r="M18" s="2331" t="s">
        <v>311</v>
      </c>
      <c r="N18" s="2279" t="s">
        <v>311</v>
      </c>
      <c r="O18" s="289" t="s">
        <v>1245</v>
      </c>
      <c r="Z18" s="505">
        <v>46</v>
      </c>
    </row>
    <row customHeight="1" ht="35.699999999999996">
      <c r="A19" s="505"/>
      <c r="C19" s="526"/>
      <c r="D19" s="539" t="s">
        <v>329</v>
      </c>
      <c r="E19" s="559" t="s">
        <v>860</v>
      </c>
      <c r="F19" s="521" t="s">
        <v>861</v>
      </c>
      <c r="G19" s="817"/>
      <c r="H19" s="106"/>
      <c r="I19" s="817"/>
      <c r="J19" s="818"/>
      <c r="K19" s="817"/>
      <c r="L19" s="2520"/>
      <c r="M19" s="817"/>
      <c r="N19" s="2520"/>
      <c r="O19" s="679"/>
      <c r="Z19" s="505">
        <v>34</v>
      </c>
    </row>
    <row customHeight="1" ht="35.699999999999996">
      <c r="A20" s="505"/>
      <c r="C20" s="526"/>
      <c r="D20" s="1887" t="s">
        <v>337</v>
      </c>
      <c r="E20" s="559" t="s">
        <v>862</v>
      </c>
      <c r="F20" s="521" t="s">
        <v>863</v>
      </c>
      <c r="G20" s="817"/>
      <c r="H20" s="106"/>
      <c r="I20" s="817"/>
      <c r="J20" s="106"/>
      <c r="K20" s="817"/>
      <c r="L20" s="2520"/>
      <c r="M20" s="817"/>
      <c r="N20" s="2520"/>
      <c r="O20" s="679"/>
      <c r="Z20" s="505">
        <v>34</v>
      </c>
    </row>
    <row customHeight="1" ht="48.29999999999999">
      <c r="A21" s="505"/>
      <c r="C21" s="526"/>
      <c r="D21" s="1887" t="s">
        <v>339</v>
      </c>
      <c r="E21" s="559" t="s">
        <v>864</v>
      </c>
      <c r="F21" s="521" t="s">
        <v>580</v>
      </c>
      <c r="G21" s="680"/>
      <c r="H21" s="106"/>
      <c r="I21" s="680"/>
      <c r="J21" s="106"/>
      <c r="K21" s="680"/>
      <c r="L21" s="2520"/>
      <c r="M21" s="680"/>
      <c r="N21" s="2520"/>
      <c r="O21" s="679"/>
      <c r="Z21" s="505">
        <v>46</v>
      </c>
    </row>
    <row customHeight="1" ht="67.5" hidden="1">
      <c r="A22" s="505"/>
      <c r="C22" s="526"/>
      <c r="D22" s="521">
        <v>5</v>
      </c>
      <c r="E22" s="279" t="s">
        <v>1246</v>
      </c>
      <c r="F22" s="521" t="s">
        <v>561</v>
      </c>
      <c r="G22" s="681"/>
      <c r="H22" s="682"/>
      <c r="I22" s="681"/>
      <c r="J22" s="682"/>
      <c r="K22" s="681"/>
      <c r="L22" s="1439"/>
      <c r="M22" s="681"/>
      <c r="N22" s="1439"/>
      <c r="O22" s="289" t="s">
        <v>1247</v>
      </c>
      <c r="Z22" s="505">
        <v>0</v>
      </c>
    </row>
    <row customHeight="1" ht="33.75" hidden="1">
      <c r="C23" s="451"/>
      <c r="D23" s="521">
        <v>6</v>
      </c>
      <c r="E23" s="279" t="s">
        <v>1248</v>
      </c>
      <c r="F23" s="521" t="s">
        <v>1249</v>
      </c>
      <c r="G23" s="681"/>
      <c r="H23" s="681"/>
      <c r="I23" s="681"/>
      <c r="J23" s="681"/>
      <c r="K23" s="681"/>
      <c r="L23" s="681"/>
      <c r="M23" s="681"/>
      <c r="N23" s="681"/>
      <c r="O23" s="289" t="s">
        <v>1250</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83</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85E518-39BA-62E8-1C08-79AE6DD741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1251</v>
      </c>
      <c r="B1" s="1067" t="s">
        <v>1252</v>
      </c>
      <c r="C1" s="1067" t="s">
        <v>1253</v>
      </c>
      <c r="D1" s="1067" t="s">
        <v>1254</v>
      </c>
      <c r="E1" s="1067" t="s">
        <v>1255</v>
      </c>
      <c r="F1" s="1067" t="s">
        <v>1256</v>
      </c>
      <c r="G1" s="1067" t="s">
        <v>1257</v>
      </c>
      <c r="H1" s="1067" t="s">
        <v>1258</v>
      </c>
      <c r="I1" s="1067" t="s">
        <v>1259</v>
      </c>
      <c r="J1" s="1067" t="s">
        <v>1260</v>
      </c>
      <c r="K1" s="1067" t="s">
        <v>1261</v>
      </c>
      <c r="L1" s="1067" t="s">
        <v>1262</v>
      </c>
      <c r="M1" s="1067"/>
      <c r="N1" s="1067" t="s">
        <v>1263</v>
      </c>
      <c r="O1" s="1067" t="s">
        <v>1264</v>
      </c>
      <c r="P1" s="1067" t="s">
        <v>1265</v>
      </c>
      <c r="Q1" s="1067" t="s">
        <v>1266</v>
      </c>
      <c r="R1" s="1067" t="s">
        <v>1267</v>
      </c>
      <c r="S1" s="1067" t="s">
        <v>1268</v>
      </c>
      <c r="T1" s="1067" t="s">
        <v>1269</v>
      </c>
      <c r="U1" s="1067" t="s">
        <v>1270</v>
      </c>
      <c r="V1" s="1067"/>
      <c r="W1" s="797" t="s">
        <v>1271</v>
      </c>
      <c r="X1" s="1067" t="s">
        <v>1272</v>
      </c>
      <c r="Y1" s="1067" t="s">
        <v>1273</v>
      </c>
      <c r="Z1" s="1067"/>
      <c r="AA1" s="1067" t="s">
        <v>1274</v>
      </c>
      <c r="AB1" s="1067"/>
      <c r="AC1" s="1067" t="s">
        <v>1275</v>
      </c>
      <c r="AD1" s="1067"/>
      <c r="AF1" s="1067" t="s">
        <v>1276</v>
      </c>
      <c r="AH1" s="1067" t="s">
        <v>1277</v>
      </c>
      <c r="AI1" s="1067" t="s">
        <v>1278</v>
      </c>
      <c r="AK1" s="1067" t="s">
        <v>1279</v>
      </c>
      <c r="AM1" s="1067" t="s">
        <v>1280</v>
      </c>
      <c r="AP1" s="1067" t="s">
        <v>1281</v>
      </c>
      <c r="AQ1" s="1067" t="s">
        <v>1282</v>
      </c>
      <c r="AS1" s="1067" t="s">
        <v>1283</v>
      </c>
      <c r="AU1" s="1067" t="s">
        <v>1284</v>
      </c>
      <c r="AW1" s="1067" t="s">
        <v>1285</v>
      </c>
      <c r="AX1" s="1067" t="s">
        <v>1286</v>
      </c>
      <c r="AZ1" s="1152" t="s">
        <v>1287</v>
      </c>
      <c r="BB1" s="1067" t="s">
        <v>1288</v>
      </c>
      <c r="BC1" s="1067"/>
      <c r="BE1" s="1067" t="s">
        <v>1289</v>
      </c>
      <c r="BF1" s="1067" t="s">
        <v>1290</v>
      </c>
      <c r="BH1" s="1069" t="s">
        <v>851</v>
      </c>
      <c r="BI1" s="1070"/>
      <c r="BJ1" s="1071" t="s">
        <v>1291</v>
      </c>
      <c r="BK1" s="1070"/>
      <c r="BL1" s="1072" t="s">
        <v>952</v>
      </c>
      <c r="BM1" s="1070"/>
      <c r="BN1" s="1073" t="s">
        <v>1292</v>
      </c>
      <c r="BS1" s="1427"/>
    </row>
    <row customHeight="1" ht="11.25">
      <c r="A2" s="1074" t="s">
        <v>1293</v>
      </c>
      <c r="B2" s="1075">
        <v>2000</v>
      </c>
      <c r="C2" s="1075">
        <v>2022</v>
      </c>
      <c r="D2" s="1075" t="s">
        <v>66</v>
      </c>
      <c r="E2" s="1076" t="s">
        <v>1294</v>
      </c>
      <c r="F2" s="1076" t="s">
        <v>1295</v>
      </c>
      <c r="G2" s="1076" t="s">
        <v>1296</v>
      </c>
      <c r="H2" s="1077" t="s">
        <v>55</v>
      </c>
      <c r="I2" s="1076" t="s">
        <v>110</v>
      </c>
      <c r="J2" s="1076" t="s">
        <v>1297</v>
      </c>
      <c r="K2" s="1078" t="s">
        <v>1298</v>
      </c>
      <c r="L2" s="1079"/>
      <c r="M2" s="1078">
        <v>1</v>
      </c>
      <c r="N2" s="1162" t="s">
        <v>1299</v>
      </c>
      <c r="O2" s="1077" t="s">
        <v>1300</v>
      </c>
      <c r="P2" s="1080" t="s">
        <v>38</v>
      </c>
      <c r="Q2" s="1081" t="s">
        <v>1301</v>
      </c>
      <c r="R2" s="143" t="s">
        <v>1302</v>
      </c>
      <c r="S2" s="143" t="s">
        <v>1303</v>
      </c>
      <c r="T2" s="1082" t="s">
        <v>1304</v>
      </c>
      <c r="U2" s="1079" t="s">
        <v>1305</v>
      </c>
      <c r="V2" s="1083">
        <v>1</v>
      </c>
      <c r="W2" s="1084"/>
      <c r="X2" s="1084" t="s">
        <v>1306</v>
      </c>
      <c r="Y2" s="1075" t="s">
        <v>1307</v>
      </c>
      <c r="Z2" s="1085"/>
      <c r="AA2" s="1075" t="s">
        <v>1308</v>
      </c>
      <c r="AB2" s="1086" t="s">
        <v>1308</v>
      </c>
      <c r="AC2" s="1075" t="s">
        <v>1309</v>
      </c>
      <c r="AD2" s="1086" t="s">
        <v>1309</v>
      </c>
      <c r="AF2" s="1077" t="s">
        <v>1305</v>
      </c>
      <c r="AH2" s="1076" t="s">
        <v>1310</v>
      </c>
      <c r="AI2" s="1076" t="s">
        <v>1310</v>
      </c>
      <c r="AK2" s="1076" t="s">
        <v>1311</v>
      </c>
      <c r="AM2" s="1076" t="s">
        <v>1312</v>
      </c>
      <c r="AP2" s="1087" t="s">
        <v>1306</v>
      </c>
      <c r="AQ2" s="1088" t="s">
        <v>1306</v>
      </c>
      <c r="AS2" s="1075" t="s">
        <v>1313</v>
      </c>
      <c r="AU2" s="1120" t="s">
        <v>1314</v>
      </c>
      <c r="AW2" s="1120" t="s">
        <v>1315</v>
      </c>
      <c r="AX2" s="1120" t="s">
        <v>1315</v>
      </c>
      <c r="AZ2" s="1120" t="s">
        <v>53</v>
      </c>
      <c r="BB2" s="1120" t="s">
        <v>1316</v>
      </c>
      <c r="BC2" s="1120" t="s">
        <v>1317</v>
      </c>
      <c r="BE2" s="2085" t="s">
        <v>1091</v>
      </c>
      <c r="BF2" s="2085" t="s">
        <v>1091</v>
      </c>
    </row>
    <row customHeight="1" ht="11.25">
      <c r="A3" s="1074" t="s">
        <v>1318</v>
      </c>
      <c r="B3" s="1075">
        <v>2001</v>
      </c>
      <c r="C3" s="1075">
        <v>2023</v>
      </c>
      <c r="D3" s="1075" t="s">
        <v>19</v>
      </c>
      <c r="E3" s="1076" t="s">
        <v>1319</v>
      </c>
      <c r="F3" s="1076" t="s">
        <v>1320</v>
      </c>
      <c r="G3" s="1076" t="s">
        <v>1321</v>
      </c>
      <c r="H3" s="1077" t="s">
        <v>1322</v>
      </c>
      <c r="I3" s="1076" t="s">
        <v>111</v>
      </c>
      <c r="J3" s="1076" t="s">
        <v>559</v>
      </c>
      <c r="K3" s="1078" t="s">
        <v>1323</v>
      </c>
      <c r="L3" s="1079">
        <f>_xlfn.IFERROR(MATCH(K3,OFFER_METHOD,0),0)</f>
        <v>0</v>
      </c>
      <c r="M3" s="1078">
        <v>2</v>
      </c>
      <c r="N3" s="1162" t="s">
        <v>1324</v>
      </c>
      <c r="O3" s="1077" t="s">
        <v>1325</v>
      </c>
      <c r="P3" s="1080" t="s">
        <v>1326</v>
      </c>
      <c r="Q3" s="1081" t="s">
        <v>1327</v>
      </c>
      <c r="R3" s="143" t="s">
        <v>1328</v>
      </c>
      <c r="S3" s="143" t="s">
        <v>1329</v>
      </c>
      <c r="T3" s="1082" t="s">
        <v>1330</v>
      </c>
      <c r="U3" s="1079" t="s">
        <v>1331</v>
      </c>
      <c r="V3" s="1083">
        <v>2</v>
      </c>
      <c r="W3" s="1084"/>
      <c r="X3" s="1084" t="s">
        <v>1332</v>
      </c>
      <c r="Y3" s="1075" t="s">
        <v>1307</v>
      </c>
      <c r="Z3" s="1085"/>
      <c r="AA3" s="1075" t="s">
        <v>1333</v>
      </c>
      <c r="AB3" s="1086" t="s">
        <v>1333</v>
      </c>
      <c r="AC3" s="1075" t="s">
        <v>1334</v>
      </c>
      <c r="AD3" s="1086" t="s">
        <v>1334</v>
      </c>
      <c r="AF3" s="1077" t="s">
        <v>1331</v>
      </c>
      <c r="AH3" s="1076" t="s">
        <v>1335</v>
      </c>
      <c r="AI3" s="1076" t="s">
        <v>1336</v>
      </c>
      <c r="AK3" s="1076" t="s">
        <v>1337</v>
      </c>
      <c r="AM3" s="1076" t="s">
        <v>1338</v>
      </c>
      <c r="AP3" s="1087" t="s">
        <v>1339</v>
      </c>
      <c r="AQ3" s="1088" t="s">
        <v>1339</v>
      </c>
      <c r="AS3" s="1075" t="s">
        <v>1340</v>
      </c>
      <c r="AU3" s="1120" t="s">
        <v>1341</v>
      </c>
      <c r="AW3" s="1120" t="s">
        <v>1342</v>
      </c>
      <c r="AX3" s="1120" t="s">
        <v>1342</v>
      </c>
      <c r="AZ3" s="1120" t="s">
        <v>1343</v>
      </c>
      <c r="BB3" s="1120" t="s">
        <v>1344</v>
      </c>
      <c r="BC3" s="1120" t="s">
        <v>1317</v>
      </c>
      <c r="BE3" s="2085" t="s">
        <v>1345</v>
      </c>
      <c r="BF3" s="2085" t="s">
        <v>1345</v>
      </c>
      <c r="BH3" s="1067" t="s">
        <v>1346</v>
      </c>
      <c r="BJ3" s="1067" t="s">
        <v>1347</v>
      </c>
      <c r="BL3" s="1067" t="s">
        <v>1348</v>
      </c>
      <c r="BN3" s="1067" t="s">
        <v>1349</v>
      </c>
      <c r="BR3" s="1067" t="s">
        <v>1350</v>
      </c>
      <c r="BS3" s="1428"/>
      <c r="BT3" s="1070"/>
      <c r="BU3" s="1067" t="s">
        <v>1351</v>
      </c>
      <c r="BV3" s="1070"/>
      <c r="BW3" s="1689"/>
      <c r="BX3" s="1691" t="s">
        <v>1352</v>
      </c>
      <c r="CA3" s="1067" t="s">
        <v>1353</v>
      </c>
    </row>
    <row customHeight="1" ht="11.25">
      <c r="A4" s="1074" t="s">
        <v>1354</v>
      </c>
      <c r="B4" s="1075">
        <v>2002</v>
      </c>
      <c r="C4" s="1075">
        <v>2024</v>
      </c>
      <c r="E4" s="1076" t="s">
        <v>1355</v>
      </c>
      <c r="F4" s="1076" t="s">
        <v>1356</v>
      </c>
      <c r="H4" s="1077" t="s">
        <v>1357</v>
      </c>
      <c r="I4" s="1076" t="s">
        <v>91</v>
      </c>
      <c r="J4" s="1076" t="s">
        <v>1358</v>
      </c>
      <c r="K4" s="1078" t="s">
        <v>1359</v>
      </c>
      <c r="L4" s="1079">
        <f>_xlfn.IFERROR(MATCH(K4,OFFER_METHOD,0),0)</f>
        <v>0</v>
      </c>
      <c r="M4" s="1078">
        <v>3</v>
      </c>
      <c r="N4" s="1162" t="s">
        <v>1360</v>
      </c>
      <c r="O4" s="1076" t="s">
        <v>1361</v>
      </c>
      <c r="Q4" s="1081" t="s">
        <v>1362</v>
      </c>
      <c r="R4" s="143" t="s">
        <v>1363</v>
      </c>
      <c r="S4" s="143" t="s">
        <v>1364</v>
      </c>
      <c r="T4" s="1082" t="s">
        <v>1365</v>
      </c>
      <c r="U4" s="1079" t="s">
        <v>1366</v>
      </c>
      <c r="V4" s="1083">
        <v>3</v>
      </c>
      <c r="W4" s="1084"/>
      <c r="X4" s="1084" t="s">
        <v>1367</v>
      </c>
      <c r="Y4" s="1075" t="s">
        <v>1307</v>
      </c>
      <c r="Z4" s="1091"/>
      <c r="AC4" s="1075" t="s">
        <v>1368</v>
      </c>
      <c r="AD4" s="1086" t="s">
        <v>1368</v>
      </c>
      <c r="AF4" s="1077" t="s">
        <v>1366</v>
      </c>
      <c r="AH4" s="1077" t="s">
        <v>1369</v>
      </c>
      <c r="AK4" s="1076" t="s">
        <v>1370</v>
      </c>
      <c r="AM4" s="1076" t="s">
        <v>1371</v>
      </c>
      <c r="AP4" s="1087" t="s">
        <v>1332</v>
      </c>
      <c r="AQ4" s="1088" t="s">
        <v>1332</v>
      </c>
      <c r="AS4" s="1075" t="s">
        <v>1372</v>
      </c>
      <c r="AU4" s="1120" t="s">
        <v>1373</v>
      </c>
      <c r="AW4" s="1120" t="s">
        <v>1374</v>
      </c>
      <c r="AX4" s="1120" t="s">
        <v>1374</v>
      </c>
      <c r="AZ4" s="1120" t="s">
        <v>1375</v>
      </c>
      <c r="BB4" s="1120" t="s">
        <v>575</v>
      </c>
      <c r="BC4" s="1120" t="s">
        <v>576</v>
      </c>
      <c r="BE4" s="1120">
        <v>2000</v>
      </c>
      <c r="BF4" s="1120" t="s">
        <v>1376</v>
      </c>
      <c r="BH4" s="1068" t="s">
        <v>1377</v>
      </c>
      <c r="BJ4" s="1068" t="s">
        <v>1377</v>
      </c>
      <c r="BL4" s="1068" t="s">
        <v>1377</v>
      </c>
      <c r="BN4" s="1068" t="s">
        <v>1377</v>
      </c>
      <c r="BQ4" s="1432" t="s">
        <v>1378</v>
      </c>
      <c r="BR4" s="1159" t="s">
        <v>1379</v>
      </c>
      <c r="BS4" s="274"/>
      <c r="BT4" s="1432" t="s">
        <v>1380</v>
      </c>
      <c r="BU4" s="1159" t="s">
        <v>1381</v>
      </c>
      <c r="BV4" s="1070"/>
      <c r="BW4" s="1696" t="s">
        <v>1382</v>
      </c>
      <c r="BX4" s="1690" t="s">
        <v>1383</v>
      </c>
      <c r="BZ4" s="1432" t="s">
        <v>1384</v>
      </c>
      <c r="CA4" s="1159" t="s">
        <v>1385</v>
      </c>
    </row>
    <row customHeight="1" ht="11.25">
      <c r="A5" s="1074" t="s">
        <v>1386</v>
      </c>
      <c r="B5" s="1075">
        <v>2003</v>
      </c>
      <c r="C5" s="2091">
        <v>2025</v>
      </c>
      <c r="D5" s="1697" t="s">
        <v>1387</v>
      </c>
      <c r="E5" s="2092" t="s">
        <v>1388</v>
      </c>
      <c r="F5" s="1076" t="s">
        <v>1389</v>
      </c>
      <c r="H5" s="1077" t="s">
        <v>1390</v>
      </c>
      <c r="I5" s="1076" t="s">
        <v>92</v>
      </c>
      <c r="K5" s="1078" t="s">
        <v>1391</v>
      </c>
      <c r="L5" s="1079">
        <f>_xlfn.IFERROR(MATCH(K5,OFFER_METHOD,0),0)</f>
        <v>0</v>
      </c>
      <c r="M5" s="1078">
        <v>4</v>
      </c>
      <c r="N5" s="1092" t="s">
        <v>1392</v>
      </c>
      <c r="O5" s="1076" t="s">
        <v>1393</v>
      </c>
      <c r="Q5" s="1081" t="s">
        <v>1394</v>
      </c>
      <c r="R5" s="143" t="s">
        <v>1395</v>
      </c>
      <c r="T5" s="1077" t="s">
        <v>1396</v>
      </c>
      <c r="U5" s="1079" t="s">
        <v>1397</v>
      </c>
      <c r="V5" s="1083">
        <v>4</v>
      </c>
      <c r="W5" s="1084"/>
      <c r="X5" s="1084" t="s">
        <v>173</v>
      </c>
      <c r="Y5" s="1075" t="s">
        <v>1398</v>
      </c>
      <c r="Z5" s="1091">
        <v>1</v>
      </c>
      <c r="AF5" s="1077" t="s">
        <v>1399</v>
      </c>
      <c r="AH5" s="1076" t="s">
        <v>1400</v>
      </c>
      <c r="AK5" s="1076" t="s">
        <v>1401</v>
      </c>
      <c r="AM5" s="1076" t="s">
        <v>1402</v>
      </c>
      <c r="AP5" s="1087" t="s">
        <v>173</v>
      </c>
      <c r="AQ5" s="1088" t="s">
        <v>173</v>
      </c>
      <c r="AU5" s="1120" t="s">
        <v>1403</v>
      </c>
      <c r="AW5" s="1120" t="s">
        <v>1404</v>
      </c>
      <c r="AX5" s="1120" t="s">
        <v>1404</v>
      </c>
      <c r="AZ5" s="1120" t="s">
        <v>1405</v>
      </c>
      <c r="BB5" s="1120" t="s">
        <v>1406</v>
      </c>
      <c r="BC5" s="1120" t="s">
        <v>573</v>
      </c>
      <c r="BE5" s="1120">
        <v>2001</v>
      </c>
      <c r="BF5" s="1120" t="s">
        <v>1407</v>
      </c>
      <c r="BH5" s="1068" t="s">
        <v>1408</v>
      </c>
      <c r="BJ5" s="1068" t="s">
        <v>1408</v>
      </c>
      <c r="BL5" s="1068" t="s">
        <v>1408</v>
      </c>
      <c r="BN5" s="1068" t="s">
        <v>1409</v>
      </c>
      <c r="BQ5" s="1281">
        <v>4213775</v>
      </c>
      <c r="BR5" s="1068" t="s">
        <v>1306</v>
      </c>
      <c r="BS5" s="1429"/>
      <c r="BT5" s="1281">
        <v>64236871</v>
      </c>
      <c r="BU5" s="1068" t="s">
        <v>234</v>
      </c>
      <c r="BV5" s="1070"/>
      <c r="BW5" s="1694">
        <v>4213767</v>
      </c>
      <c r="BX5" s="1692" t="s">
        <v>1410</v>
      </c>
      <c r="BZ5" s="1281">
        <v>64237509</v>
      </c>
      <c r="CA5" s="1295" t="s">
        <v>1411</v>
      </c>
    </row>
    <row customHeight="1" ht="11.25">
      <c r="A6" s="1074" t="s">
        <v>1412</v>
      </c>
      <c r="B6" s="1075">
        <v>2004</v>
      </c>
      <c r="C6" s="2091">
        <v>2026</v>
      </c>
      <c r="D6" s="2093"/>
      <c r="E6" s="2092" t="s">
        <v>1413</v>
      </c>
      <c r="F6" s="1093"/>
      <c r="H6" s="1077" t="s">
        <v>1414</v>
      </c>
      <c r="I6" s="1076" t="s">
        <v>100</v>
      </c>
      <c r="J6" s="1067" t="s">
        <v>1415</v>
      </c>
      <c r="L6" s="1079">
        <f>SUM(kind_of_control_method_filter)</f>
        <v>0</v>
      </c>
      <c r="N6" s="1092" t="s">
        <v>1416</v>
      </c>
      <c r="O6" s="1076" t="s">
        <v>1417</v>
      </c>
      <c r="R6" s="143" t="s">
        <v>1301</v>
      </c>
      <c r="T6" s="1077" t="s">
        <v>1418</v>
      </c>
      <c r="U6" s="1079" t="s">
        <v>1399</v>
      </c>
      <c r="V6" s="1083">
        <v>5</v>
      </c>
      <c r="W6" s="1084"/>
      <c r="X6" s="1075" t="s">
        <v>179</v>
      </c>
      <c r="Y6" s="1075" t="s">
        <v>1419</v>
      </c>
      <c r="Z6" s="1091"/>
      <c r="AA6" s="1094"/>
      <c r="AH6" s="1076" t="s">
        <v>1420</v>
      </c>
      <c r="AK6" s="1076" t="s">
        <v>1421</v>
      </c>
      <c r="AM6" s="1076" t="s">
        <v>1422</v>
      </c>
      <c r="AP6" s="1087" t="s">
        <v>179</v>
      </c>
      <c r="AQ6" s="1088" t="s">
        <v>179</v>
      </c>
      <c r="AU6" s="1120" t="s">
        <v>1423</v>
      </c>
      <c r="AW6" s="1120" t="s">
        <v>1424</v>
      </c>
      <c r="AX6" s="1120" t="s">
        <v>1424</v>
      </c>
      <c r="BB6" s="1120" t="s">
        <v>1425</v>
      </c>
      <c r="BC6" s="1120" t="s">
        <v>573</v>
      </c>
      <c r="BE6" s="1120">
        <v>2002</v>
      </c>
      <c r="BF6" s="1120" t="s">
        <v>1426</v>
      </c>
      <c r="BH6" s="1068" t="s">
        <v>1427</v>
      </c>
      <c r="BJ6" s="1068" t="s">
        <v>1428</v>
      </c>
      <c r="BL6" s="1068" t="s">
        <v>1428</v>
      </c>
      <c r="BN6" s="1068" t="s">
        <v>1429</v>
      </c>
      <c r="BQ6" s="1281">
        <v>4213784</v>
      </c>
      <c r="BR6" s="1295" t="s">
        <v>1339</v>
      </c>
      <c r="BS6" s="1430"/>
      <c r="BT6" s="1281">
        <v>64236872</v>
      </c>
      <c r="BU6" s="1068" t="s">
        <v>239</v>
      </c>
      <c r="BV6" s="1070"/>
      <c r="BW6" s="1694">
        <v>4213768</v>
      </c>
      <c r="BX6" s="1692" t="s">
        <v>259</v>
      </c>
      <c r="BZ6" s="1281">
        <v>64237510</v>
      </c>
      <c r="CA6" s="1068" t="s">
        <v>1430</v>
      </c>
    </row>
    <row customHeight="1" ht="11.25">
      <c r="A7" s="1074" t="s">
        <v>1431</v>
      </c>
      <c r="B7" s="1075">
        <v>2005</v>
      </c>
      <c r="E7" s="1076" t="s">
        <v>1432</v>
      </c>
      <c r="F7" s="1093"/>
      <c r="H7" s="1077" t="s">
        <v>1433</v>
      </c>
      <c r="I7" s="1076" t="s">
        <v>93</v>
      </c>
      <c r="J7" s="1076" t="s">
        <v>1434</v>
      </c>
      <c r="N7" s="1096" t="s">
        <v>1435</v>
      </c>
      <c r="O7" s="1076" t="s">
        <v>1436</v>
      </c>
      <c r="U7" s="1079" t="s">
        <v>19</v>
      </c>
      <c r="V7" s="370" t="s">
        <v>93</v>
      </c>
      <c r="W7" s="1084"/>
      <c r="X7" s="1075" t="s">
        <v>185</v>
      </c>
      <c r="Y7" s="1075" t="s">
        <v>1398</v>
      </c>
      <c r="Z7" s="1091"/>
      <c r="AA7" s="1094"/>
      <c r="AH7" s="1076" t="s">
        <v>1437</v>
      </c>
      <c r="AK7" s="1076" t="s">
        <v>1438</v>
      </c>
      <c r="AM7" s="1076" t="s">
        <v>1439</v>
      </c>
      <c r="AP7" s="1087" t="s">
        <v>185</v>
      </c>
      <c r="AQ7" s="1088" t="s">
        <v>185</v>
      </c>
      <c r="AU7" s="1120" t="s">
        <v>1440</v>
      </c>
      <c r="AW7" s="1120" t="s">
        <v>1441</v>
      </c>
      <c r="AX7" s="1120" t="s">
        <v>1441</v>
      </c>
      <c r="AZ7" s="1067" t="s">
        <v>1442</v>
      </c>
      <c r="BB7" s="1120" t="s">
        <v>577</v>
      </c>
      <c r="BC7" s="1120" t="s">
        <v>573</v>
      </c>
      <c r="BE7" s="1120">
        <v>2003</v>
      </c>
      <c r="BF7" s="1120" t="s">
        <v>1443</v>
      </c>
      <c r="BH7" s="1068" t="s">
        <v>1083</v>
      </c>
      <c r="BJ7" s="1068" t="s">
        <v>1427</v>
      </c>
      <c r="BL7" s="1068" t="s">
        <v>1427</v>
      </c>
      <c r="BN7" s="1068" t="s">
        <v>1444</v>
      </c>
      <c r="BQ7" s="1281">
        <v>4213781</v>
      </c>
      <c r="BR7" s="1068" t="s">
        <v>1332</v>
      </c>
      <c r="BS7" s="1429"/>
      <c r="BT7" s="1281">
        <v>64236873</v>
      </c>
      <c r="BU7" s="1068" t="s">
        <v>244</v>
      </c>
      <c r="BV7" s="1070"/>
      <c r="BW7" s="1694">
        <v>4213769</v>
      </c>
      <c r="BX7" s="1692" t="s">
        <v>1445</v>
      </c>
      <c r="BZ7" s="1281">
        <v>64237511</v>
      </c>
      <c r="CA7" s="1068" t="s">
        <v>274</v>
      </c>
    </row>
    <row customHeight="1" ht="11.25">
      <c r="A8" s="1074" t="s">
        <v>1446</v>
      </c>
      <c r="B8" s="1075">
        <v>2006</v>
      </c>
      <c r="E8" s="1076" t="s">
        <v>1447</v>
      </c>
      <c r="F8" s="1093"/>
      <c r="H8" s="1077" t="s">
        <v>1448</v>
      </c>
      <c r="I8" s="1076" t="s">
        <v>94</v>
      </c>
      <c r="J8" s="1076" t="s">
        <v>1449</v>
      </c>
      <c r="N8" s="1163" t="s">
        <v>1450</v>
      </c>
      <c r="O8" s="1076" t="s">
        <v>1451</v>
      </c>
      <c r="V8" s="370" t="s">
        <v>94</v>
      </c>
      <c r="W8" s="1084"/>
      <c r="X8" s="1075" t="s">
        <v>191</v>
      </c>
      <c r="Y8" s="1075" t="s">
        <v>1398</v>
      </c>
      <c r="Z8" s="1091"/>
      <c r="AA8" s="1094"/>
      <c r="AK8" s="1076" t="s">
        <v>1452</v>
      </c>
      <c r="AP8" s="1087" t="s">
        <v>191</v>
      </c>
      <c r="AQ8" s="1088" t="s">
        <v>191</v>
      </c>
      <c r="AU8" s="1120" t="s">
        <v>1453</v>
      </c>
      <c r="AW8" s="1120" t="s">
        <v>1454</v>
      </c>
      <c r="AX8" s="1120" t="s">
        <v>1454</v>
      </c>
      <c r="AZ8" s="1120" t="s">
        <v>68</v>
      </c>
      <c r="BB8" s="1120" t="s">
        <v>1455</v>
      </c>
      <c r="BC8" s="1120" t="s">
        <v>573</v>
      </c>
      <c r="BE8" s="1120">
        <v>2004</v>
      </c>
      <c r="BF8" s="1120" t="s">
        <v>1456</v>
      </c>
      <c r="BH8" s="1068" t="s">
        <v>1457</v>
      </c>
      <c r="BJ8" s="1068" t="s">
        <v>1458</v>
      </c>
      <c r="BL8" s="1068" t="s">
        <v>1458</v>
      </c>
      <c r="BN8" s="1068" t="s">
        <v>1459</v>
      </c>
      <c r="BQ8" s="1281">
        <v>4213776</v>
      </c>
      <c r="BR8" s="1068" t="s">
        <v>173</v>
      </c>
      <c r="BS8" s="1429"/>
      <c r="BT8" s="1281">
        <v>64236874</v>
      </c>
      <c r="BU8" s="1295" t="s">
        <v>1460</v>
      </c>
      <c r="BV8" s="1070"/>
      <c r="BW8" s="1694">
        <v>4213770</v>
      </c>
      <c r="BX8" s="1695" t="s">
        <v>1461</v>
      </c>
      <c r="BZ8" s="1281">
        <v>64237512</v>
      </c>
      <c r="CA8" s="1068" t="s">
        <v>269</v>
      </c>
    </row>
    <row customHeight="1" ht="11.25">
      <c r="A9" s="1074" t="s">
        <v>1462</v>
      </c>
      <c r="B9" s="1075">
        <v>2007</v>
      </c>
      <c r="E9" s="1076" t="s">
        <v>1463</v>
      </c>
      <c r="F9" s="2094" t="s">
        <v>1464</v>
      </c>
      <c r="G9" s="1067" t="s">
        <v>1465</v>
      </c>
      <c r="H9" s="1067" t="s">
        <v>1466</v>
      </c>
      <c r="I9" s="1076" t="s">
        <v>112</v>
      </c>
      <c r="O9" s="1076" t="s">
        <v>1467</v>
      </c>
      <c r="V9" s="370" t="s">
        <v>112</v>
      </c>
      <c r="W9" s="1084"/>
      <c r="X9" s="1075" t="s">
        <v>197</v>
      </c>
      <c r="Y9" s="1075" t="s">
        <v>1307</v>
      </c>
      <c r="Z9" s="1091">
        <v>1</v>
      </c>
      <c r="AA9" s="1094"/>
      <c r="AK9" s="1076" t="s">
        <v>1468</v>
      </c>
      <c r="AP9" s="1087" t="s">
        <v>1469</v>
      </c>
      <c r="AQ9" s="1088" t="s">
        <v>1469</v>
      </c>
      <c r="AW9" s="1120" t="s">
        <v>1470</v>
      </c>
      <c r="AX9" s="1120" t="s">
        <v>1470</v>
      </c>
      <c r="AZ9" s="1120" t="s">
        <v>1471</v>
      </c>
      <c r="BB9" s="1120" t="s">
        <v>1472</v>
      </c>
      <c r="BC9" s="1120" t="s">
        <v>573</v>
      </c>
      <c r="BE9" s="1120">
        <v>2005</v>
      </c>
      <c r="BF9" s="1120" t="s">
        <v>1473</v>
      </c>
      <c r="BH9" s="1068" t="s">
        <v>1474</v>
      </c>
      <c r="BJ9" s="1068" t="s">
        <v>1475</v>
      </c>
      <c r="BL9" s="1068" t="s">
        <v>1475</v>
      </c>
      <c r="BN9" s="1068" t="s">
        <v>1476</v>
      </c>
      <c r="BQ9" s="1281">
        <v>4213777</v>
      </c>
      <c r="BR9" s="1068" t="s">
        <v>179</v>
      </c>
      <c r="BS9" s="1429"/>
      <c r="BT9" s="1281">
        <v>64236875</v>
      </c>
      <c r="BU9" s="1068" t="s">
        <v>249</v>
      </c>
      <c r="BV9" s="1070"/>
      <c r="BW9" s="1689"/>
      <c r="BX9" s="1689"/>
    </row>
    <row customHeight="1" ht="11.25">
      <c r="A10" s="1074" t="s">
        <v>1477</v>
      </c>
      <c r="B10" s="1075">
        <v>2008</v>
      </c>
      <c r="E10" s="1078" t="s">
        <v>1478</v>
      </c>
      <c r="F10" s="2095" t="s">
        <v>1479</v>
      </c>
      <c r="G10" s="2092" t="s">
        <v>1480</v>
      </c>
      <c r="H10" s="1076" t="s">
        <v>1481</v>
      </c>
      <c r="I10" s="1076" t="s">
        <v>155</v>
      </c>
      <c r="J10" s="1067" t="s">
        <v>1482</v>
      </c>
      <c r="K10" s="1067" t="s">
        <v>1483</v>
      </c>
      <c r="O10" s="1076" t="s">
        <v>1484</v>
      </c>
      <c r="V10" s="371" t="s">
        <v>155</v>
      </c>
      <c r="W10" s="1097"/>
      <c r="X10" s="1097" t="s">
        <v>1485</v>
      </c>
      <c r="Y10" s="1098" t="s">
        <v>1486</v>
      </c>
      <c r="Z10" s="1091"/>
      <c r="AP10" s="1087" t="s">
        <v>1485</v>
      </c>
      <c r="AQ10" s="1088" t="s">
        <v>1485</v>
      </c>
      <c r="AW10" s="1120" t="s">
        <v>1487</v>
      </c>
      <c r="AX10" s="1120" t="s">
        <v>1487</v>
      </c>
      <c r="AZ10" s="1120" t="s">
        <v>1196</v>
      </c>
      <c r="BB10" s="1120" t="s">
        <v>1488</v>
      </c>
      <c r="BC10" s="1120" t="s">
        <v>573</v>
      </c>
      <c r="BE10" s="1120">
        <v>2006</v>
      </c>
      <c r="BF10" s="1120" t="s">
        <v>1489</v>
      </c>
      <c r="BH10" s="1068" t="s">
        <v>1490</v>
      </c>
      <c r="BJ10" s="1068" t="s">
        <v>1491</v>
      </c>
      <c r="BL10" s="1068" t="s">
        <v>1491</v>
      </c>
      <c r="BN10" s="1068" t="s">
        <v>1492</v>
      </c>
      <c r="BQ10" s="1281">
        <v>4213778</v>
      </c>
      <c r="BR10" s="1068" t="s">
        <v>185</v>
      </c>
      <c r="BS10" s="1429"/>
      <c r="BT10" s="1281">
        <v>64236876</v>
      </c>
      <c r="BU10" s="1068" t="s">
        <v>229</v>
      </c>
      <c r="BV10" s="1070"/>
      <c r="BW10" s="1689"/>
      <c r="BX10" s="1689"/>
    </row>
    <row customHeight="1" ht="11.25">
      <c r="A11" s="1074" t="s">
        <v>1493</v>
      </c>
      <c r="B11" s="1075">
        <v>2009</v>
      </c>
      <c r="E11" s="1078" t="s">
        <v>1494</v>
      </c>
      <c r="F11" s="2095" t="s">
        <v>1495</v>
      </c>
      <c r="G11" s="2092" t="s">
        <v>1496</v>
      </c>
      <c r="H11" s="1076" t="s">
        <v>1497</v>
      </c>
      <c r="I11" s="1076" t="s">
        <v>156</v>
      </c>
      <c r="J11" s="1077" t="s">
        <v>1498</v>
      </c>
      <c r="K11" s="1099" t="s">
        <v>574</v>
      </c>
      <c r="O11" s="1077" t="s">
        <v>1499</v>
      </c>
      <c r="V11" s="370" t="s">
        <v>156</v>
      </c>
      <c r="W11" s="275"/>
      <c r="X11" s="1084" t="s">
        <v>1469</v>
      </c>
      <c r="Y11" s="1075" t="s">
        <v>1500</v>
      </c>
      <c r="Z11" s="1091"/>
      <c r="AP11" s="1087" t="s">
        <v>197</v>
      </c>
      <c r="AQ11" s="1089" t="s">
        <v>197</v>
      </c>
      <c r="AW11" s="1120" t="s">
        <v>1501</v>
      </c>
      <c r="AX11" s="1120" t="s">
        <v>1501</v>
      </c>
      <c r="AZ11" s="1120" t="s">
        <v>1502</v>
      </c>
      <c r="BB11" s="1120" t="s">
        <v>572</v>
      </c>
      <c r="BC11" s="1120" t="s">
        <v>573</v>
      </c>
      <c r="BE11" s="1120">
        <v>2007</v>
      </c>
      <c r="BF11" s="1120" t="s">
        <v>1503</v>
      </c>
      <c r="BH11" s="1068" t="s">
        <v>1504</v>
      </c>
      <c r="BJ11" s="1068" t="s">
        <v>1474</v>
      </c>
      <c r="BL11" s="1068" t="s">
        <v>1474</v>
      </c>
      <c r="BN11" s="1068" t="s">
        <v>1505</v>
      </c>
      <c r="BQ11" s="1281">
        <v>4213780</v>
      </c>
      <c r="BR11" s="1068" t="s">
        <v>191</v>
      </c>
      <c r="BS11" s="1429"/>
      <c r="BW11" s="1689"/>
      <c r="BX11" s="1689"/>
    </row>
    <row customHeight="1" ht="11.25">
      <c r="A12" s="1074" t="s">
        <v>1506</v>
      </c>
      <c r="B12" s="1075">
        <v>2010</v>
      </c>
      <c r="E12" s="1078" t="s">
        <v>1507</v>
      </c>
      <c r="F12" s="2095" t="s">
        <v>1508</v>
      </c>
      <c r="G12" s="2092" t="s">
        <v>1497</v>
      </c>
      <c r="I12" s="1076" t="s">
        <v>157</v>
      </c>
      <c r="J12" s="1077" t="s">
        <v>1509</v>
      </c>
      <c r="K12" s="1099" t="s">
        <v>1510</v>
      </c>
      <c r="O12" s="1077" t="s">
        <v>1301</v>
      </c>
      <c r="V12" s="370" t="s">
        <v>157</v>
      </c>
      <c r="W12" s="1089"/>
      <c r="X12" s="1084" t="s">
        <v>1511</v>
      </c>
      <c r="Y12" s="1075" t="s">
        <v>1307</v>
      </c>
      <c r="AP12" s="1087"/>
      <c r="AW12" s="1120" t="s">
        <v>156</v>
      </c>
      <c r="AX12" s="1120" t="s">
        <v>156</v>
      </c>
      <c r="AZ12" s="1120" t="s">
        <v>1512</v>
      </c>
      <c r="BB12" s="1120" t="s">
        <v>1513</v>
      </c>
      <c r="BC12" s="1120" t="s">
        <v>573</v>
      </c>
      <c r="BE12" s="1120">
        <v>2008</v>
      </c>
      <c r="BF12" s="1120" t="s">
        <v>1514</v>
      </c>
      <c r="BH12" s="1068" t="s">
        <v>1515</v>
      </c>
      <c r="BJ12" s="1068" t="s">
        <v>1516</v>
      </c>
      <c r="BL12" s="1068" t="s">
        <v>1516</v>
      </c>
      <c r="BN12" s="1068" t="s">
        <v>1517</v>
      </c>
      <c r="BQ12" s="1281">
        <v>4213779</v>
      </c>
      <c r="BR12" s="1068" t="s">
        <v>1469</v>
      </c>
      <c r="BS12" s="1429"/>
      <c r="BT12" s="1070"/>
      <c r="BU12" s="1070"/>
      <c r="BV12" s="1070"/>
      <c r="BW12" s="1689"/>
      <c r="BX12" s="1689"/>
    </row>
    <row customHeight="1" ht="11.25">
      <c r="A13" s="1074" t="s">
        <v>1518</v>
      </c>
      <c r="B13" s="1075">
        <v>2011</v>
      </c>
      <c r="E13" s="1076" t="s">
        <v>1519</v>
      </c>
      <c r="F13" s="1093"/>
      <c r="I13" s="1076" t="s">
        <v>158</v>
      </c>
      <c r="K13" s="1099" t="s">
        <v>1468</v>
      </c>
      <c r="V13" s="370" t="s">
        <v>158</v>
      </c>
      <c r="W13" s="1089"/>
      <c r="X13" s="1089"/>
      <c r="Y13" s="1089"/>
      <c r="AW13" s="1120" t="s">
        <v>157</v>
      </c>
      <c r="AX13" s="1120" t="s">
        <v>157</v>
      </c>
      <c r="BB13" s="1120" t="s">
        <v>1520</v>
      </c>
      <c r="BC13" s="1120" t="s">
        <v>1521</v>
      </c>
      <c r="BE13" s="1120">
        <v>2009</v>
      </c>
      <c r="BF13" s="1120" t="s">
        <v>1075</v>
      </c>
      <c r="BH13" s="1068" t="s">
        <v>1522</v>
      </c>
      <c r="BJ13" s="1068" t="s">
        <v>1504</v>
      </c>
      <c r="BL13" s="1068" t="s">
        <v>1504</v>
      </c>
      <c r="BN13" s="1068" t="s">
        <v>1523</v>
      </c>
      <c r="BQ13" s="1281">
        <v>4213783</v>
      </c>
      <c r="BR13" s="1068" t="s">
        <v>1485</v>
      </c>
      <c r="BS13" s="1429"/>
      <c r="BT13" s="1070"/>
      <c r="BU13" s="1070"/>
      <c r="BV13" s="1070"/>
      <c r="BW13" s="1693"/>
      <c r="BX13" s="1689"/>
    </row>
    <row customHeight="1" ht="11.25">
      <c r="A14" s="1074" t="s">
        <v>1524</v>
      </c>
      <c r="B14" s="1075">
        <v>2012</v>
      </c>
      <c r="I14" s="1076" t="s">
        <v>159</v>
      </c>
      <c r="J14" s="1067" t="s">
        <v>1525</v>
      </c>
      <c r="N14" s="1067" t="s">
        <v>1526</v>
      </c>
      <c r="V14" s="1083">
        <v>13</v>
      </c>
      <c r="W14" s="1084"/>
      <c r="X14" s="1084" t="s">
        <v>1339</v>
      </c>
      <c r="Y14" s="1075" t="s">
        <v>1307</v>
      </c>
      <c r="AW14" s="1120" t="s">
        <v>158</v>
      </c>
      <c r="AX14" s="1120" t="s">
        <v>158</v>
      </c>
      <c r="AZ14" s="1067" t="s">
        <v>1527</v>
      </c>
      <c r="BB14" s="1120" t="s">
        <v>1528</v>
      </c>
      <c r="BC14" s="1120" t="s">
        <v>1521</v>
      </c>
      <c r="BE14" s="1120">
        <v>2010</v>
      </c>
      <c r="BF14" s="1120" t="s">
        <v>1529</v>
      </c>
      <c r="BH14" s="1068" t="s">
        <v>1444</v>
      </c>
      <c r="BJ14" s="1217" t="s">
        <v>1530</v>
      </c>
      <c r="BL14" s="1217" t="s">
        <v>1530</v>
      </c>
      <c r="BN14" s="1068" t="s">
        <v>1531</v>
      </c>
      <c r="BQ14" s="1281">
        <v>4213782</v>
      </c>
      <c r="BR14" s="1068" t="s">
        <v>197</v>
      </c>
      <c r="BS14" s="1429"/>
      <c r="BT14" s="1070"/>
      <c r="BU14" s="1070"/>
      <c r="BV14" s="1070"/>
      <c r="BW14" s="1693"/>
      <c r="BX14" s="1689"/>
    </row>
    <row customHeight="1" ht="19.5">
      <c r="A15" s="1074" t="s">
        <v>1532</v>
      </c>
      <c r="B15" s="1075">
        <v>2013</v>
      </c>
      <c r="E15" s="1697" t="s">
        <v>1533</v>
      </c>
      <c r="G15" s="1067" t="s">
        <v>1534</v>
      </c>
      <c r="H15" s="1067" t="s">
        <v>1535</v>
      </c>
      <c r="I15" s="1078" t="s">
        <v>160</v>
      </c>
      <c r="J15" s="1089" t="s">
        <v>599</v>
      </c>
      <c r="N15" s="1158" t="s">
        <v>1536</v>
      </c>
      <c r="X15" s="1087"/>
      <c r="AW15" s="1120" t="s">
        <v>159</v>
      </c>
      <c r="AX15" s="1120" t="s">
        <v>159</v>
      </c>
      <c r="AZ15" s="1120" t="s">
        <v>68</v>
      </c>
      <c r="BB15" s="1120" t="s">
        <v>1537</v>
      </c>
      <c r="BC15" s="1120" t="s">
        <v>1521</v>
      </c>
      <c r="BE15" s="1120">
        <v>2011</v>
      </c>
      <c r="BF15" s="1120" t="s">
        <v>1538</v>
      </c>
      <c r="BH15" s="1068" t="s">
        <v>1459</v>
      </c>
      <c r="BJ15" s="1217" t="s">
        <v>1539</v>
      </c>
      <c r="BL15" s="1217" t="s">
        <v>1539</v>
      </c>
      <c r="BN15" s="1068" t="s">
        <v>1540</v>
      </c>
      <c r="BR15" s="1070"/>
      <c r="BS15" s="1431"/>
      <c r="BT15" s="1070"/>
      <c r="BU15" s="1070"/>
      <c r="BV15" s="1070"/>
      <c r="BW15" s="1693"/>
      <c r="BX15" s="1689"/>
    </row>
    <row customHeight="1" ht="21">
      <c r="A16" s="1867" t="s">
        <v>1541</v>
      </c>
      <c r="B16" s="1075">
        <v>2014</v>
      </c>
      <c r="E16" s="1698" t="s">
        <v>1542</v>
      </c>
      <c r="G16" s="1076" t="s">
        <v>1543</v>
      </c>
      <c r="H16" s="1076" t="s">
        <v>1544</v>
      </c>
      <c r="I16" s="1078" t="s">
        <v>1545</v>
      </c>
      <c r="J16" s="1089" t="s">
        <v>559</v>
      </c>
      <c r="N16" s="1158" t="s">
        <v>1546</v>
      </c>
      <c r="AW16" s="1120" t="s">
        <v>160</v>
      </c>
      <c r="AX16" s="1120" t="s">
        <v>160</v>
      </c>
      <c r="AZ16" s="1120" t="s">
        <v>1471</v>
      </c>
      <c r="BB16" s="1120" t="s">
        <v>1547</v>
      </c>
      <c r="BC16" s="1120" t="s">
        <v>1521</v>
      </c>
      <c r="BE16" s="1120">
        <v>2012</v>
      </c>
      <c r="BH16" s="1068" t="s">
        <v>1476</v>
      </c>
      <c r="BJ16" s="1217" t="s">
        <v>1548</v>
      </c>
      <c r="BL16" s="1217" t="s">
        <v>1548</v>
      </c>
      <c r="BN16" s="1068" t="s">
        <v>1549</v>
      </c>
      <c r="BR16" s="1070"/>
      <c r="BS16" s="1431"/>
      <c r="BT16" s="1070"/>
      <c r="BU16" s="1070"/>
      <c r="BV16" s="1070"/>
      <c r="BW16" s="1693"/>
      <c r="BX16" s="1689"/>
    </row>
    <row customHeight="1" ht="21">
      <c r="A17" s="1074" t="s">
        <v>1550</v>
      </c>
      <c r="B17" s="1075">
        <v>2015</v>
      </c>
      <c r="G17" s="1076" t="s">
        <v>1497</v>
      </c>
      <c r="H17" s="1076" t="s">
        <v>1497</v>
      </c>
      <c r="I17" s="1076" t="s">
        <v>1551</v>
      </c>
      <c r="N17" s="1158" t="s">
        <v>1552</v>
      </c>
      <c r="X17" s="1087"/>
      <c r="AW17" s="1120" t="s">
        <v>1545</v>
      </c>
      <c r="AX17" s="1120" t="s">
        <v>1545</v>
      </c>
      <c r="AZ17" s="1120" t="s">
        <v>1553</v>
      </c>
      <c r="BB17" s="1120" t="s">
        <v>1554</v>
      </c>
      <c r="BC17" s="1120" t="s">
        <v>573</v>
      </c>
      <c r="BE17" s="1120">
        <v>2013</v>
      </c>
      <c r="BH17" s="1068" t="s">
        <v>1492</v>
      </c>
      <c r="BJ17" s="1217" t="s">
        <v>1555</v>
      </c>
      <c r="BL17" s="1217" t="s">
        <v>1555</v>
      </c>
      <c r="BN17" s="1068" t="s">
        <v>1556</v>
      </c>
      <c r="BR17" s="1067" t="s">
        <v>1350</v>
      </c>
      <c r="BS17" s="1428"/>
      <c r="BU17" s="1067" t="s">
        <v>1557</v>
      </c>
      <c r="BV17" s="1070"/>
      <c r="BW17" s="1689"/>
      <c r="BX17" s="1691" t="s">
        <v>1558</v>
      </c>
      <c r="CA17" s="1067" t="s">
        <v>1559</v>
      </c>
      <c r="CD17" s="1067" t="s">
        <v>1560</v>
      </c>
    </row>
    <row customHeight="1" ht="21">
      <c r="A18" s="1074" t="s">
        <v>1561</v>
      </c>
      <c r="B18" s="1075">
        <v>2016</v>
      </c>
      <c r="E18" s="2002" t="s">
        <v>1562</v>
      </c>
      <c r="I18" s="1076" t="s">
        <v>1563</v>
      </c>
      <c r="N18" s="1158" t="s">
        <v>1564</v>
      </c>
      <c r="X18" s="1087"/>
      <c r="AW18" s="1120" t="s">
        <v>1551</v>
      </c>
      <c r="AX18" s="1120" t="s">
        <v>1551</v>
      </c>
      <c r="BB18" s="1120" t="s">
        <v>1565</v>
      </c>
      <c r="BC18" s="1120" t="s">
        <v>573</v>
      </c>
      <c r="BE18" s="1120">
        <v>2014</v>
      </c>
      <c r="BH18" s="1068" t="s">
        <v>1505</v>
      </c>
      <c r="BJ18" s="1217" t="s">
        <v>1566</v>
      </c>
      <c r="BL18" s="1217" t="s">
        <v>1566</v>
      </c>
      <c r="BN18" s="1068" t="s">
        <v>1567</v>
      </c>
      <c r="BQ18" s="1432" t="s">
        <v>1378</v>
      </c>
      <c r="BR18" s="1159" t="s">
        <v>1379</v>
      </c>
      <c r="BS18" s="274"/>
      <c r="BT18" s="1432" t="s">
        <v>1568</v>
      </c>
      <c r="BU18" s="1159" t="s">
        <v>1569</v>
      </c>
      <c r="BV18" s="1070"/>
      <c r="BW18" s="1696" t="s">
        <v>1570</v>
      </c>
      <c r="BX18" s="1690" t="s">
        <v>1571</v>
      </c>
      <c r="BZ18" s="1432" t="s">
        <v>1572</v>
      </c>
      <c r="CA18" s="1159" t="s">
        <v>1573</v>
      </c>
      <c r="CC18" s="1432" t="s">
        <v>1574</v>
      </c>
      <c r="CD18" s="1159" t="s">
        <v>1575</v>
      </c>
    </row>
    <row customHeight="1" ht="21">
      <c r="A19" s="1867" t="s">
        <v>1576</v>
      </c>
      <c r="B19" s="1075">
        <v>2017</v>
      </c>
      <c r="E19" s="1074" t="s">
        <v>172</v>
      </c>
      <c r="I19" s="1076" t="s">
        <v>1577</v>
      </c>
      <c r="N19" s="1158" t="s">
        <v>1578</v>
      </c>
      <c r="X19" s="1087"/>
      <c r="AW19" s="1120" t="s">
        <v>1563</v>
      </c>
      <c r="AX19" s="1120" t="s">
        <v>1563</v>
      </c>
      <c r="AZ19" s="1067" t="s">
        <v>1579</v>
      </c>
      <c r="BB19" s="1120" t="s">
        <v>1580</v>
      </c>
      <c r="BC19" s="1120" t="s">
        <v>573</v>
      </c>
      <c r="BE19" s="1120">
        <v>2015</v>
      </c>
      <c r="BH19" s="1068" t="s">
        <v>1581</v>
      </c>
      <c r="BJ19" s="1217" t="s">
        <v>1582</v>
      </c>
      <c r="BL19" s="1217" t="s">
        <v>1582</v>
      </c>
      <c r="BQ19" s="1281">
        <v>4190064</v>
      </c>
      <c r="BR19" s="1068" t="s">
        <v>1583</v>
      </c>
      <c r="BS19" s="1429"/>
      <c r="BT19" s="1281">
        <v>4189671</v>
      </c>
      <c r="BU19" s="1068" t="s">
        <v>1584</v>
      </c>
      <c r="BV19" s="1070"/>
      <c r="BW19" s="1694">
        <v>4189706</v>
      </c>
      <c r="BX19" s="1692" t="s">
        <v>1585</v>
      </c>
      <c r="BZ19" s="1281">
        <v>4189714</v>
      </c>
      <c r="CA19" s="1068" t="s">
        <v>1586</v>
      </c>
      <c r="CC19" s="1281">
        <v>4189708</v>
      </c>
      <c r="CD19" s="1068" t="s">
        <v>1587</v>
      </c>
    </row>
    <row customHeight="1" ht="21">
      <c r="A20" s="1074" t="s">
        <v>1588</v>
      </c>
      <c r="B20" s="1075">
        <v>2018</v>
      </c>
      <c r="E20" s="1074" t="s">
        <v>1339</v>
      </c>
      <c r="I20" s="1076" t="s">
        <v>1589</v>
      </c>
      <c r="N20" s="1158" t="s">
        <v>1590</v>
      </c>
      <c r="AW20" s="1120" t="s">
        <v>1577</v>
      </c>
      <c r="AX20" s="1120" t="s">
        <v>1577</v>
      </c>
      <c r="AZ20" s="1120" t="s">
        <v>1591</v>
      </c>
      <c r="BB20" s="1120" t="s">
        <v>1592</v>
      </c>
      <c r="BC20" s="1120" t="s">
        <v>1521</v>
      </c>
      <c r="BE20" s="1120">
        <v>2016</v>
      </c>
      <c r="BH20" s="1068" t="s">
        <v>1517</v>
      </c>
      <c r="BJ20" s="1068" t="s">
        <v>1444</v>
      </c>
      <c r="BL20" s="1068" t="s">
        <v>1444</v>
      </c>
      <c r="BQ20" s="1281">
        <v>4190065</v>
      </c>
      <c r="BR20" s="1068" t="s">
        <v>1593</v>
      </c>
      <c r="BS20" s="1429"/>
      <c r="BT20" s="1281">
        <v>4189672</v>
      </c>
      <c r="BU20" s="1068" t="s">
        <v>1594</v>
      </c>
      <c r="BV20" s="1070"/>
      <c r="BW20" s="1694">
        <v>4189705</v>
      </c>
      <c r="BX20" s="1692" t="s">
        <v>1595</v>
      </c>
      <c r="BZ20" s="1281">
        <v>4189713</v>
      </c>
      <c r="CA20" s="1068" t="s">
        <v>1595</v>
      </c>
      <c r="CC20" s="1281">
        <v>4189709</v>
      </c>
      <c r="CD20" s="1068" t="s">
        <v>1596</v>
      </c>
    </row>
    <row customHeight="1" ht="21">
      <c r="A21" s="1074" t="s">
        <v>1597</v>
      </c>
      <c r="B21" s="1075">
        <v>2019</v>
      </c>
      <c r="I21" s="1076" t="s">
        <v>1598</v>
      </c>
      <c r="N21" s="1158" t="s">
        <v>1599</v>
      </c>
      <c r="AW21" s="1120" t="s">
        <v>1589</v>
      </c>
      <c r="AX21" s="1120" t="s">
        <v>1589</v>
      </c>
      <c r="AZ21" s="1120" t="s">
        <v>1600</v>
      </c>
      <c r="BB21" s="1120" t="s">
        <v>1601</v>
      </c>
      <c r="BC21" s="1120" t="s">
        <v>573</v>
      </c>
      <c r="BE21" s="1120">
        <v>2017</v>
      </c>
      <c r="BH21" s="1068" t="s">
        <v>1523</v>
      </c>
      <c r="BJ21" s="1068" t="s">
        <v>1459</v>
      </c>
      <c r="BL21" s="1068" t="s">
        <v>1459</v>
      </c>
      <c r="BQ21" s="1281">
        <v>4190066</v>
      </c>
      <c r="BR21" s="1068" t="s">
        <v>1602</v>
      </c>
      <c r="BS21" s="1429"/>
      <c r="BT21" s="1281">
        <v>4189673</v>
      </c>
      <c r="BU21" s="1068" t="s">
        <v>1603</v>
      </c>
      <c r="BV21" s="1070"/>
      <c r="BW21" s="1694">
        <v>4189707</v>
      </c>
      <c r="BX21" s="1692" t="s">
        <v>1604</v>
      </c>
      <c r="BZ21" s="1281">
        <v>4189712</v>
      </c>
      <c r="CA21" s="1068" t="s">
        <v>1605</v>
      </c>
      <c r="CC21" s="1281">
        <v>4189710</v>
      </c>
      <c r="CD21" s="1068" t="s">
        <v>1606</v>
      </c>
    </row>
    <row customHeight="1" ht="21">
      <c r="A22" s="1074" t="s">
        <v>1607</v>
      </c>
      <c r="B22" s="1075">
        <v>2020</v>
      </c>
      <c r="N22" s="1158" t="s">
        <v>1608</v>
      </c>
      <c r="AW22" s="1120" t="s">
        <v>1598</v>
      </c>
      <c r="AX22" s="1120" t="s">
        <v>1598</v>
      </c>
      <c r="AZ22" s="1120" t="s">
        <v>1609</v>
      </c>
      <c r="BB22" s="1120" t="s">
        <v>1610</v>
      </c>
      <c r="BC22" s="1120" t="s">
        <v>573</v>
      </c>
      <c r="BE22" s="1120">
        <v>2018</v>
      </c>
      <c r="BH22" s="1068" t="s">
        <v>1531</v>
      </c>
      <c r="BJ22" s="1068" t="s">
        <v>1476</v>
      </c>
      <c r="BL22" s="1068" t="s">
        <v>1476</v>
      </c>
      <c r="BQ22" s="1281">
        <v>4190067</v>
      </c>
      <c r="BR22" s="1068" t="s">
        <v>1611</v>
      </c>
      <c r="BS22" s="1429"/>
      <c r="BT22" s="1281">
        <v>4189674</v>
      </c>
      <c r="BU22" s="1068" t="s">
        <v>1612</v>
      </c>
      <c r="BV22" s="1070"/>
      <c r="BW22" s="1070"/>
      <c r="CC22" s="1281">
        <v>4189711</v>
      </c>
      <c r="CD22" s="1068" t="s">
        <v>298</v>
      </c>
    </row>
    <row customHeight="1" ht="21">
      <c r="A23" s="1074" t="s">
        <v>1613</v>
      </c>
      <c r="B23" s="1075">
        <v>2021</v>
      </c>
      <c r="AW23" s="1120" t="s">
        <v>1614</v>
      </c>
      <c r="AX23" s="1120" t="s">
        <v>1614</v>
      </c>
      <c r="AZ23" s="1120" t="s">
        <v>1615</v>
      </c>
      <c r="BB23" s="1120" t="s">
        <v>1616</v>
      </c>
      <c r="BC23" s="1120" t="s">
        <v>1317</v>
      </c>
      <c r="BE23" s="1120">
        <v>2019</v>
      </c>
      <c r="BH23" s="1068" t="s">
        <v>1540</v>
      </c>
      <c r="BJ23" s="1068" t="s">
        <v>1492</v>
      </c>
      <c r="BL23" s="1068" t="s">
        <v>1492</v>
      </c>
      <c r="BQ23" s="1281">
        <v>4190068</v>
      </c>
      <c r="BR23" s="1068" t="s">
        <v>1617</v>
      </c>
      <c r="BS23" s="1429"/>
      <c r="BT23" s="1281">
        <v>4189675</v>
      </c>
      <c r="BU23" s="1068" t="s">
        <v>1618</v>
      </c>
      <c r="BV23" s="1070"/>
      <c r="BW23" s="1070"/>
      <c r="CC23" s="1281">
        <v>5110778</v>
      </c>
      <c r="CD23" s="1068" t="s">
        <v>1619</v>
      </c>
    </row>
    <row customHeight="1" ht="21">
      <c r="A24" s="1074" t="s">
        <v>1620</v>
      </c>
      <c r="B24" s="1075">
        <v>2022</v>
      </c>
      <c r="AW24" s="1120" t="s">
        <v>1621</v>
      </c>
      <c r="AX24" s="1120" t="s">
        <v>1621</v>
      </c>
      <c r="AZ24" s="1120" t="s">
        <v>1622</v>
      </c>
      <c r="BB24" s="1120" t="s">
        <v>1623</v>
      </c>
      <c r="BC24" s="1120" t="s">
        <v>1624</v>
      </c>
      <c r="BE24" s="1120">
        <v>2020</v>
      </c>
      <c r="BH24" s="1068" t="s">
        <v>1549</v>
      </c>
      <c r="BJ24" s="1068" t="s">
        <v>1505</v>
      </c>
      <c r="BL24" s="1068" t="s">
        <v>1505</v>
      </c>
      <c r="BQ24" s="1281">
        <v>4190069</v>
      </c>
      <c r="BR24" s="1068" t="s">
        <v>1625</v>
      </c>
      <c r="BS24" s="1429"/>
      <c r="BT24" s="1281">
        <v>4189676</v>
      </c>
      <c r="BU24" s="1068" t="s">
        <v>1626</v>
      </c>
      <c r="BV24" s="1070"/>
      <c r="BW24" s="1070"/>
      <c r="CC24" s="1281">
        <v>25575374</v>
      </c>
      <c r="CD24" s="1068" t="s">
        <v>1627</v>
      </c>
    </row>
    <row customHeight="1" ht="11.25">
      <c r="A25" s="1074" t="s">
        <v>1628</v>
      </c>
      <c r="B25" s="1075">
        <v>2023</v>
      </c>
      <c r="AW25" s="1120" t="s">
        <v>1629</v>
      </c>
      <c r="AX25" s="1120" t="s">
        <v>1629</v>
      </c>
      <c r="AZ25" s="1120" t="s">
        <v>1030</v>
      </c>
      <c r="BB25" s="1120" t="s">
        <v>1630</v>
      </c>
      <c r="BC25" s="1120" t="s">
        <v>1624</v>
      </c>
      <c r="BE25" s="1120">
        <v>2021</v>
      </c>
      <c r="BH25" s="1068" t="s">
        <v>1556</v>
      </c>
      <c r="BJ25" s="1068" t="s">
        <v>1581</v>
      </c>
      <c r="BL25" s="1068" t="s">
        <v>1581</v>
      </c>
      <c r="BQ25" s="1281">
        <v>4190070</v>
      </c>
      <c r="BR25" s="1068" t="s">
        <v>1631</v>
      </c>
      <c r="BS25" s="1429"/>
      <c r="BT25" s="1281">
        <v>4189677</v>
      </c>
      <c r="BU25" s="1068" t="s">
        <v>1632</v>
      </c>
      <c r="BV25" s="1070"/>
      <c r="BW25" s="1070"/>
    </row>
    <row customHeight="1" ht="11.25">
      <c r="A26" s="1074" t="s">
        <v>1633</v>
      </c>
      <c r="B26" s="1075">
        <v>2024</v>
      </c>
      <c r="J26" s="1730" t="s">
        <v>1634</v>
      </c>
      <c r="AX26" s="1120" t="s">
        <v>1635</v>
      </c>
      <c r="AZ26" s="1120" t="s">
        <v>1499</v>
      </c>
      <c r="BB26" s="1120" t="s">
        <v>1636</v>
      </c>
      <c r="BC26" s="1120" t="s">
        <v>1624</v>
      </c>
      <c r="BE26" s="1120">
        <v>2022</v>
      </c>
      <c r="BH26" s="1068" t="s">
        <v>1567</v>
      </c>
      <c r="BJ26" s="1068" t="s">
        <v>1517</v>
      </c>
      <c r="BL26" s="1068" t="s">
        <v>1517</v>
      </c>
      <c r="BQ26" s="1281">
        <v>4190071</v>
      </c>
      <c r="BR26" s="1068" t="s">
        <v>1637</v>
      </c>
      <c r="BS26" s="1429"/>
      <c r="BV26" s="1070"/>
      <c r="BW26" s="1070"/>
    </row>
    <row customHeight="1" ht="11.25">
      <c r="A27" s="1074" t="s">
        <v>1638</v>
      </c>
      <c r="B27" s="1075">
        <v>2025</v>
      </c>
      <c r="J27" s="176" t="s">
        <v>121</v>
      </c>
      <c r="AX27" s="1120" t="s">
        <v>1639</v>
      </c>
      <c r="BB27" s="1120" t="s">
        <v>1640</v>
      </c>
      <c r="BC27" s="1120" t="s">
        <v>1624</v>
      </c>
      <c r="BE27" s="1120">
        <v>2023</v>
      </c>
      <c r="BH27" s="1070" t="s">
        <v>22</v>
      </c>
      <c r="BJ27" s="1068" t="s">
        <v>1523</v>
      </c>
      <c r="BL27" s="1068" t="s">
        <v>1523</v>
      </c>
      <c r="BN27" s="1070" t="s">
        <v>22</v>
      </c>
      <c r="BQ27" s="1281">
        <v>4190072</v>
      </c>
      <c r="BR27" s="1068" t="s">
        <v>1641</v>
      </c>
      <c r="BS27" s="1429"/>
      <c r="BV27" s="1070"/>
      <c r="BW27" s="1070"/>
    </row>
    <row customHeight="1" ht="11.25">
      <c r="A28" s="1074" t="s">
        <v>1642</v>
      </c>
      <c r="D28" s="1101"/>
      <c r="E28" s="1102"/>
      <c r="F28" s="1102"/>
      <c r="H28" s="1103" t="s">
        <v>1643</v>
      </c>
      <c r="AX28" s="1120" t="s">
        <v>1644</v>
      </c>
      <c r="AZ28" s="1067" t="s">
        <v>1645</v>
      </c>
      <c r="BB28" s="1120" t="s">
        <v>1646</v>
      </c>
      <c r="BC28" s="1120" t="s">
        <v>1647</v>
      </c>
      <c r="BE28" s="1120">
        <v>2024</v>
      </c>
      <c r="BH28" s="1070" t="s">
        <v>22</v>
      </c>
      <c r="BJ28" s="1068" t="s">
        <v>1531</v>
      </c>
      <c r="BL28" s="1068" t="s">
        <v>1531</v>
      </c>
      <c r="BN28" s="1070" t="s">
        <v>22</v>
      </c>
      <c r="BQ28" s="1281">
        <v>4190073</v>
      </c>
      <c r="BR28" s="1068" t="s">
        <v>1648</v>
      </c>
      <c r="BS28" s="1429"/>
      <c r="BV28" s="1070"/>
      <c r="BW28" s="1070"/>
    </row>
    <row customHeight="1" ht="11.25">
      <c r="A29" s="1074" t="s">
        <v>1649</v>
      </c>
      <c r="D29" s="1104" t="s">
        <v>1650</v>
      </c>
      <c r="E29" s="1105" t="str">
        <f>IF(TEMPLATE_GROUP="","",INDEX(StartDateList,MATCH(TEMPLATE_GROUP,CodeTemplateList,0),1))</f>
        <v>01.01.2025</v>
      </c>
      <c r="F29" s="1105" t="str">
        <f>IF(TEMPLATE_GROUP="","",INDEX(EndDateList,MATCH(TEMPLATE_GROUP,CodeTemplateList,0),1))</f>
        <v>31.12.2025</v>
      </c>
      <c r="H29" s="1106" t="s">
        <v>1651</v>
      </c>
      <c r="AX29" s="1120" t="s">
        <v>1652</v>
      </c>
      <c r="AZ29" s="1120" t="s">
        <v>1302</v>
      </c>
      <c r="BB29" s="1120" t="s">
        <v>1499</v>
      </c>
      <c r="BC29" s="1091"/>
      <c r="BE29" s="1120">
        <v>2025</v>
      </c>
      <c r="BJ29" s="1068" t="s">
        <v>1540</v>
      </c>
      <c r="BL29" s="1068" t="s">
        <v>1540</v>
      </c>
    </row>
    <row customHeight="1" ht="11.25">
      <c r="A30" s="1074" t="s">
        <v>1653</v>
      </c>
      <c r="D30" s="1107"/>
      <c r="E30" s="1108"/>
      <c r="F30" s="1108"/>
      <c r="AX30" s="1120" t="s">
        <v>1654</v>
      </c>
      <c r="AZ30" s="1120" t="s">
        <v>1328</v>
      </c>
      <c r="BE30" s="1120">
        <v>2026</v>
      </c>
      <c r="BJ30" s="1068" t="s">
        <v>1655</v>
      </c>
      <c r="BL30" s="1068" t="s">
        <v>1655</v>
      </c>
    </row>
    <row customHeight="1" ht="12.75">
      <c r="A31" s="1074" t="s">
        <v>1656</v>
      </c>
      <c r="D31" s="1101"/>
      <c r="E31" s="1102"/>
      <c r="F31" s="1102"/>
      <c r="H31" s="1109"/>
      <c r="AX31" s="1120" t="s">
        <v>1657</v>
      </c>
      <c r="AZ31" s="1120" t="s">
        <v>1658</v>
      </c>
      <c r="BE31" s="1120">
        <v>2027</v>
      </c>
      <c r="BJ31" s="1068" t="s">
        <v>1659</v>
      </c>
      <c r="BL31" s="1068" t="s">
        <v>1659</v>
      </c>
    </row>
    <row customHeight="1" ht="11.25">
      <c r="A32" s="1074" t="s">
        <v>1660</v>
      </c>
      <c r="D32" s="1104" t="s">
        <v>1661</v>
      </c>
      <c r="E32" s="1105" t="str">
        <f>IF(TEMPLATE_GROUP="","",INDEX(StartDateList,MATCH(TEMPLATE_GROUP,CodeTemplateList,0),1))</f>
        <v>01.01.2025</v>
      </c>
      <c r="F32" s="1105" t="str">
        <f>IF(TEMPLATE_GROUP="","",INDEX(EndDateList,MATCH(TEMPLATE_GROUP,CodeTemplateList,0),1))</f>
        <v>31.12.2025</v>
      </c>
      <c r="H32" s="1110" t="s">
        <v>1662</v>
      </c>
      <c r="O32" s="1074" t="s">
        <v>1300</v>
      </c>
      <c r="AX32" s="1120" t="s">
        <v>1663</v>
      </c>
      <c r="AZ32" s="1120" t="s">
        <v>1395</v>
      </c>
      <c r="BE32" s="1120">
        <v>2028</v>
      </c>
      <c r="BJ32" s="1068" t="s">
        <v>1549</v>
      </c>
      <c r="BL32" s="1068" t="s">
        <v>1549</v>
      </c>
    </row>
    <row customHeight="1" ht="11.25">
      <c r="A33" s="1074" t="s">
        <v>1664</v>
      </c>
      <c r="O33" s="1074" t="s">
        <v>1325</v>
      </c>
      <c r="AX33" s="1120" t="s">
        <v>1665</v>
      </c>
      <c r="AZ33" s="1120" t="s">
        <v>1301</v>
      </c>
      <c r="BE33" s="1120">
        <v>2029</v>
      </c>
      <c r="BJ33" s="1068" t="s">
        <v>1556</v>
      </c>
      <c r="BL33" s="1068" t="s">
        <v>1556</v>
      </c>
    </row>
    <row customHeight="1" ht="11.25">
      <c r="A34" s="1074" t="s">
        <v>1666</v>
      </c>
      <c r="O34" s="1074" t="s">
        <v>1361</v>
      </c>
      <c r="AX34" s="1120" t="s">
        <v>1667</v>
      </c>
      <c r="BE34" s="1120">
        <v>2030</v>
      </c>
      <c r="BJ34" s="1068" t="s">
        <v>1567</v>
      </c>
      <c r="BL34" s="1068" t="s">
        <v>1567</v>
      </c>
    </row>
    <row customHeight="1" ht="11.25">
      <c r="A35" s="1074" t="s">
        <v>1668</v>
      </c>
      <c r="O35" s="1074" t="s">
        <v>1393</v>
      </c>
      <c r="AX35" s="1120" t="s">
        <v>1669</v>
      </c>
      <c r="AZ35" s="1067" t="s">
        <v>1670</v>
      </c>
      <c r="BE35" s="1120">
        <v>2031</v>
      </c>
      <c r="BL35" s="1068" t="s">
        <v>1671</v>
      </c>
    </row>
    <row customHeight="1" ht="11.25">
      <c r="A36" s="1867" t="s">
        <v>1672</v>
      </c>
      <c r="D36" s="1111" t="s">
        <v>1673</v>
      </c>
      <c r="E36" s="1112" t="s">
        <v>851</v>
      </c>
      <c r="F36" s="1113" t="str">
        <f>INDEX(E37:E41,MATCH(TEMPLATE_SPHERE,F37:F41,0))</f>
        <v>теплоснабжения</v>
      </c>
      <c r="G36" s="1113" t="str">
        <f>INDEX(G37:G41,MATCH(TEMPLATE_SPHERE,F37:F41,0))</f>
        <v>теплоснабжение</v>
      </c>
      <c r="O36" s="1074" t="s">
        <v>1417</v>
      </c>
      <c r="AX36" s="1120" t="s">
        <v>1674</v>
      </c>
      <c r="AZ36" s="1120" t="s">
        <v>1301</v>
      </c>
      <c r="BE36" s="1120">
        <v>2032</v>
      </c>
      <c r="BL36" s="1068" t="s">
        <v>1675</v>
      </c>
    </row>
    <row customHeight="1" ht="11.25">
      <c r="A37" s="1074" t="s">
        <v>1676</v>
      </c>
      <c r="E37" s="407" t="s">
        <v>1677</v>
      </c>
      <c r="F37" s="1114" t="s">
        <v>851</v>
      </c>
      <c r="G37" s="407" t="s">
        <v>1678</v>
      </c>
      <c r="O37" s="1074" t="s">
        <v>1436</v>
      </c>
      <c r="AX37" s="1120" t="s">
        <v>1679</v>
      </c>
      <c r="AZ37" s="1120" t="s">
        <v>1327</v>
      </c>
      <c r="BE37" s="1120">
        <v>2033</v>
      </c>
    </row>
    <row customHeight="1" ht="11.25">
      <c r="A38" s="1074" t="s">
        <v>1680</v>
      </c>
      <c r="E38" s="407" t="s">
        <v>1681</v>
      </c>
      <c r="F38" s="1115" t="s">
        <v>899</v>
      </c>
      <c r="G38" s="407" t="s">
        <v>1682</v>
      </c>
      <c r="O38" s="1074" t="s">
        <v>1451</v>
      </c>
      <c r="AX38" s="1120" t="s">
        <v>1082</v>
      </c>
      <c r="AZ38" s="1120" t="s">
        <v>1362</v>
      </c>
      <c r="BE38" s="1120">
        <v>2034</v>
      </c>
      <c r="BH38" s="1067" t="s">
        <v>1683</v>
      </c>
      <c r="BJ38" s="1067" t="s">
        <v>1684</v>
      </c>
      <c r="BL38" s="1067" t="s">
        <v>1685</v>
      </c>
      <c r="BN38" s="1067" t="s">
        <v>1686</v>
      </c>
    </row>
    <row customHeight="1" ht="11.25">
      <c r="A39" s="1074" t="s">
        <v>1687</v>
      </c>
      <c r="E39" s="407" t="s">
        <v>1688</v>
      </c>
      <c r="F39" s="1115" t="s">
        <v>952</v>
      </c>
      <c r="G39" s="407" t="s">
        <v>1689</v>
      </c>
      <c r="O39" s="1074" t="s">
        <v>1467</v>
      </c>
      <c r="AX39" s="1120" t="s">
        <v>1690</v>
      </c>
      <c r="AZ39" s="1120" t="s">
        <v>1394</v>
      </c>
      <c r="BE39" s="1120">
        <v>2035</v>
      </c>
      <c r="BH39" s="1068" t="s">
        <v>1691</v>
      </c>
      <c r="BJ39" s="1217" t="s">
        <v>1691</v>
      </c>
      <c r="BL39" s="1217" t="s">
        <v>1691</v>
      </c>
      <c r="BN39" s="1068" t="s">
        <v>1692</v>
      </c>
    </row>
    <row customHeight="1" ht="11.25">
      <c r="A40" s="1074" t="s">
        <v>1693</v>
      </c>
      <c r="E40" s="407" t="s">
        <v>1694</v>
      </c>
      <c r="F40" s="1115" t="s">
        <v>939</v>
      </c>
      <c r="G40" s="407" t="s">
        <v>1695</v>
      </c>
      <c r="O40" s="1074" t="s">
        <v>1484</v>
      </c>
      <c r="AX40" s="1120" t="s">
        <v>1696</v>
      </c>
      <c r="BE40" s="1120">
        <v>2036</v>
      </c>
      <c r="BH40" s="1068" t="s">
        <v>1697</v>
      </c>
      <c r="BJ40" s="1217" t="s">
        <v>1108</v>
      </c>
      <c r="BL40" s="1217" t="s">
        <v>1108</v>
      </c>
      <c r="BN40" s="1068" t="s">
        <v>1142</v>
      </c>
    </row>
    <row customHeight="1" ht="11.25">
      <c r="A41" s="1074" t="s">
        <v>1698</v>
      </c>
      <c r="E41" s="407" t="s">
        <v>1699</v>
      </c>
      <c r="F41" s="1115" t="s">
        <v>1700</v>
      </c>
      <c r="G41" s="407" t="s">
        <v>1699</v>
      </c>
      <c r="O41" s="1074" t="s">
        <v>1499</v>
      </c>
      <c r="AX41" s="1120" t="s">
        <v>1701</v>
      </c>
      <c r="AZ41" s="1067" t="s">
        <v>1702</v>
      </c>
      <c r="BE41" s="1120">
        <v>2037</v>
      </c>
      <c r="BH41" s="1068" t="s">
        <v>1703</v>
      </c>
      <c r="BJ41" s="1217" t="s">
        <v>1104</v>
      </c>
      <c r="BL41" s="1217" t="s">
        <v>1104</v>
      </c>
      <c r="BN41" s="1068" t="s">
        <v>1129</v>
      </c>
    </row>
    <row customHeight="1" ht="11.25">
      <c r="A42" s="1074" t="s">
        <v>1704</v>
      </c>
      <c r="AX42" s="1120" t="s">
        <v>1705</v>
      </c>
      <c r="AZ42" s="1120" t="s">
        <v>1300</v>
      </c>
      <c r="BE42" s="1120">
        <v>2038</v>
      </c>
      <c r="BH42" s="1068" t="s">
        <v>1126</v>
      </c>
      <c r="BJ42" s="1217" t="s">
        <v>1106</v>
      </c>
      <c r="BL42" s="1217" t="s">
        <v>1106</v>
      </c>
      <c r="BN42" s="1068" t="s">
        <v>1706</v>
      </c>
    </row>
    <row customHeight="1" ht="11.25">
      <c r="A43" s="1074" t="s">
        <v>1707</v>
      </c>
      <c r="AX43" s="1120" t="s">
        <v>1708</v>
      </c>
      <c r="AZ43" s="1120" t="s">
        <v>1325</v>
      </c>
      <c r="BE43" s="1120">
        <v>2039</v>
      </c>
      <c r="BH43" s="1068" t="s">
        <v>1709</v>
      </c>
      <c r="BJ43" s="1217" t="s">
        <v>1703</v>
      </c>
      <c r="BL43" s="1217" t="s">
        <v>1703</v>
      </c>
      <c r="BN43" s="1068" t="s">
        <v>1710</v>
      </c>
    </row>
    <row customHeight="1" ht="11.25">
      <c r="A44" s="1074" t="s">
        <v>1711</v>
      </c>
      <c r="G44" s="1094">
        <f>YEAR(TODAY())</f>
        <v>2026</v>
      </c>
      <c r="I44" s="799" t="s">
        <v>1712</v>
      </c>
      <c r="J44" s="1089" t="s">
        <v>1713</v>
      </c>
      <c r="K44" s="1089" t="s">
        <v>1714</v>
      </c>
      <c r="AX44" s="1120" t="s">
        <v>1715</v>
      </c>
      <c r="AZ44" s="1120" t="s">
        <v>1361</v>
      </c>
      <c r="BE44" s="1120">
        <v>2040</v>
      </c>
      <c r="BH44" s="1068" t="s">
        <v>1716</v>
      </c>
      <c r="BJ44" s="1217" t="s">
        <v>1126</v>
      </c>
      <c r="BL44" s="1217" t="s">
        <v>1126</v>
      </c>
      <c r="BN44" s="1068" t="s">
        <v>1717</v>
      </c>
    </row>
    <row customHeight="1" ht="11.25">
      <c r="A45" s="1074" t="s">
        <v>1718</v>
      </c>
      <c r="D45" s="1111" t="s">
        <v>1719</v>
      </c>
      <c r="E45" s="1112" t="s">
        <v>1720</v>
      </c>
      <c r="F45" s="797" t="s">
        <v>1721</v>
      </c>
      <c r="G45" s="796" t="s">
        <v>1722</v>
      </c>
      <c r="H45" s="799" t="s">
        <v>1723</v>
      </c>
      <c r="I45" s="1740">
        <f>INDEX(PeriodIsEmptyList,MATCH(TEMPLATE_GROUP,CodeTemplateList,0),1)</f>
        <v>0</v>
      </c>
      <c r="J45" s="174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1724</v>
      </c>
      <c r="AZ45" s="1120" t="s">
        <v>1393</v>
      </c>
      <c r="BE45" s="1120">
        <v>2041</v>
      </c>
      <c r="BH45" s="1068" t="s">
        <v>1725</v>
      </c>
      <c r="BJ45" s="1217" t="s">
        <v>1120</v>
      </c>
      <c r="BL45" s="1217" t="s">
        <v>1120</v>
      </c>
      <c r="BN45" s="1068" t="s">
        <v>1726</v>
      </c>
    </row>
    <row customHeight="1" ht="11.25">
      <c r="A46" s="1074" t="s">
        <v>1727</v>
      </c>
      <c r="E46" s="407" t="s">
        <v>27</v>
      </c>
      <c r="F46" s="1114" t="s">
        <v>1728</v>
      </c>
      <c r="G46" s="1116" t="str">
        <f>_xlfn.IFERROR(IF(TITLE_DATE_FIL="","01.01."&amp;CURRENT_YEAR,"01.01."&amp;YEAR(TITLE_DATE_FIL)),"01.01."&amp;CURRENT_YEAR)</f>
        <v>01.01.2026</v>
      </c>
      <c r="H46" s="1116" t="str">
        <f>_xlfn.IFERROR(IF(TITLE_DATE_FIL="","31.12."&amp;CURRENT_YEAR,"31.12."&amp;YEAR(TITLE_DATE_FIL)),"31.12."&amp;CURRENT_YEAR)</f>
        <v>31.12.2026</v>
      </c>
      <c r="I46" s="1741">
        <f>IF(TITLE_DATE_FIL="",TRUE,FALSE)</f>
        <v>1</v>
      </c>
      <c r="J46" s="1744" t="str">
        <f>"Общая информация о регулируемой организации ("&amp;TEMPLATE_SPHERE_RUS&amp;")"</f>
        <v>Общая информация о регулируемой организации (теплоснабжения)</v>
      </c>
      <c r="K46" s="1745"/>
      <c r="AX46" s="1120" t="s">
        <v>1729</v>
      </c>
      <c r="AZ46" s="1120" t="s">
        <v>1417</v>
      </c>
      <c r="BE46" s="1120">
        <v>2042</v>
      </c>
      <c r="BH46" s="1068" t="s">
        <v>1129</v>
      </c>
      <c r="BJ46" s="1217" t="s">
        <v>1110</v>
      </c>
      <c r="BL46" s="1217" t="s">
        <v>1110</v>
      </c>
      <c r="BN46" s="1068" t="s">
        <v>1730</v>
      </c>
    </row>
    <row customHeight="1" ht="11.25">
      <c r="A47" s="1074" t="s">
        <v>1731</v>
      </c>
      <c r="E47" s="407" t="s">
        <v>33</v>
      </c>
      <c r="F47" s="1115" t="s">
        <v>1732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5"/>
      <c r="AX47" s="1120" t="s">
        <v>1733</v>
      </c>
      <c r="AZ47" s="1120" t="s">
        <v>1436</v>
      </c>
      <c r="BE47" s="1120">
        <v>2043</v>
      </c>
      <c r="BH47" s="1068" t="s">
        <v>1706</v>
      </c>
      <c r="BJ47" s="1217" t="s">
        <v>1112</v>
      </c>
      <c r="BL47" s="1217" t="s">
        <v>1112</v>
      </c>
      <c r="BN47" s="1068" t="s">
        <v>1734</v>
      </c>
    </row>
    <row customHeight="1" ht="11.25">
      <c r="A48" s="1074" t="s">
        <v>1735</v>
      </c>
      <c r="E48" s="407" t="s">
        <v>1736</v>
      </c>
      <c r="F48" s="1115" t="s">
        <v>1720</v>
      </c>
      <c r="G48" s="1116" t="str">
        <f>_xlfn.IFERROR(IF(f_year="","01.01."&amp;CURRENT_YEAR,"01.01."&amp;f_year),"01.01."&amp;CURRENT_YEAR)</f>
        <v>01.01.2025</v>
      </c>
      <c r="H48" s="1116" t="str">
        <f>_xlfn.IFERROR(IF(f_year="","31.12."&amp;CURRENT_YEAR,"31.12."&amp;f_year),"31.12."&amp;CURRENT_YEAR)</f>
        <v>31.12.2025</v>
      </c>
      <c r="I48" s="1741">
        <f>IF(f_year="",TRUE,FALSE)</f>
        <v>0</v>
      </c>
      <c r="J48" s="1744" t="s">
        <v>1737</v>
      </c>
      <c r="K48" s="1745"/>
      <c r="AX48" s="1120" t="s">
        <v>1738</v>
      </c>
      <c r="AZ48" s="1120" t="s">
        <v>1451</v>
      </c>
      <c r="BE48" s="1120">
        <v>2044</v>
      </c>
      <c r="BH48" s="1068" t="s">
        <v>1710</v>
      </c>
      <c r="BJ48" s="1217" t="s">
        <v>1114</v>
      </c>
      <c r="BL48" s="1217" t="s">
        <v>1114</v>
      </c>
      <c r="BN48" s="1068" t="s">
        <v>1739</v>
      </c>
    </row>
    <row customHeight="1" ht="11.25">
      <c r="A49" s="1074" t="s">
        <v>1740</v>
      </c>
      <c r="E49" s="407" t="s">
        <v>1741</v>
      </c>
      <c r="F49" s="1115" t="s">
        <v>1742</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5"/>
      <c r="AX49" s="1120" t="s">
        <v>1743</v>
      </c>
      <c r="AZ49" s="1120" t="s">
        <v>1467</v>
      </c>
      <c r="BE49" s="1120">
        <v>2045</v>
      </c>
      <c r="BH49" s="1068" t="s">
        <v>1130</v>
      </c>
      <c r="BJ49" s="1217" t="s">
        <v>1116</v>
      </c>
      <c r="BL49" s="1217" t="s">
        <v>1116</v>
      </c>
    </row>
    <row customHeight="1" ht="11.25">
      <c r="A50" s="1074" t="s">
        <v>1744</v>
      </c>
      <c r="E50" s="407" t="s">
        <v>1745</v>
      </c>
      <c r="F50" s="1115" t="s">
        <v>1100</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5"/>
      <c r="AX50" s="1120" t="s">
        <v>1746</v>
      </c>
      <c r="AZ50" s="1120" t="s">
        <v>1484</v>
      </c>
      <c r="BE50" s="1120">
        <v>2046</v>
      </c>
      <c r="BH50" s="1068" t="s">
        <v>1717</v>
      </c>
      <c r="BJ50" s="1217" t="s">
        <v>1118</v>
      </c>
      <c r="BL50" s="1217" t="s">
        <v>1118</v>
      </c>
    </row>
    <row customHeight="1" ht="11.25">
      <c r="A51" s="1074" t="s">
        <v>1747</v>
      </c>
      <c r="E51" s="407" t="s">
        <v>1748</v>
      </c>
      <c r="F51" s="1115" t="s">
        <v>1749</v>
      </c>
      <c r="G51" s="1116" t="str">
        <f>_xlfn.IFERROR(IF(TITLE_PERIOD_START="","01.01."&amp;CURRENT_YEAR,"01.01."&amp;YEAR(TITLE_PERIOD_START)),"01.01."&amp;CURRENT_YEAR)</f>
        <v>01.01.2026</v>
      </c>
      <c r="H51" s="1116" t="str">
        <f>_xlfn.IFERROR(IF(TITLE_PERIOD_END="","31.12."&amp;CURRENT_YEAR,"31.12."&amp;YEAR(TITLE_PERIOD_END)),"31.12."&amp;CURRENT_YEAR)</f>
        <v>31.12.2026</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1750</v>
      </c>
      <c r="AZ51" s="1120" t="s">
        <v>1499</v>
      </c>
      <c r="BE51" s="1120">
        <v>2047</v>
      </c>
      <c r="BH51" s="1068" t="s">
        <v>1726</v>
      </c>
      <c r="BJ51" s="1217" t="s">
        <v>1751</v>
      </c>
      <c r="BL51" s="1217" t="s">
        <v>1751</v>
      </c>
    </row>
    <row customHeight="1" ht="11.25">
      <c r="A52" s="1074" t="s">
        <v>1752</v>
      </c>
      <c r="E52" s="407" t="s">
        <v>1753</v>
      </c>
      <c r="F52" s="1115" t="s">
        <v>1754</v>
      </c>
      <c r="G52" s="1116" t="str">
        <f>_xlfn.IFERROR(IF(TITLE_PERIOD_START="","01.01."&amp;CURRENT_YEAR,"01.01."&amp;YEAR(TITLE_PERIOD_START)),"01.01."&amp;CURRENT_YEAR)</f>
        <v>01.01.2026</v>
      </c>
      <c r="H52" s="1116" t="str">
        <f>_xlfn.IFERROR(IF(TITLE_PERIOD_END="","31.12."&amp;CURRENT_YEAR,"31.12."&amp;YEAR(TITLE_PERIOD_END)),"31.12."&amp;CURRENT_YEAR)</f>
        <v>31.12.2026</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теплоснабжения (цены и тарифы)</v>
      </c>
      <c r="K52" s="1745"/>
      <c r="AX52" s="1120" t="s">
        <v>1755</v>
      </c>
      <c r="AZ52" s="1120" t="s">
        <v>1301</v>
      </c>
      <c r="BE52" s="1120">
        <v>2048</v>
      </c>
      <c r="BH52" s="1068" t="s">
        <v>1730</v>
      </c>
      <c r="BJ52" s="1217" t="s">
        <v>1129</v>
      </c>
      <c r="BL52" s="1217" t="s">
        <v>1129</v>
      </c>
    </row>
    <row customHeight="1" ht="11.25">
      <c r="A53" s="1074" t="s">
        <v>1756</v>
      </c>
      <c r="E53" s="407" t="s">
        <v>1757</v>
      </c>
      <c r="F53" s="1115" t="s">
        <v>1757</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1758</v>
      </c>
      <c r="K53" s="1745"/>
      <c r="AX53" s="1120" t="s">
        <v>1759</v>
      </c>
      <c r="BE53" s="1120">
        <v>2049</v>
      </c>
      <c r="BH53" s="1068" t="s">
        <v>1734</v>
      </c>
      <c r="BJ53" s="1217" t="s">
        <v>1706</v>
      </c>
      <c r="BL53" s="1217" t="s">
        <v>1706</v>
      </c>
    </row>
    <row customHeight="1" ht="11.25">
      <c r="A54" s="1074" t="s">
        <v>1760</v>
      </c>
      <c r="AX54" s="1120" t="s">
        <v>1761</v>
      </c>
      <c r="AZ54" s="1067" t="s">
        <v>1762</v>
      </c>
      <c r="BE54" s="1120">
        <v>2050</v>
      </c>
      <c r="BH54" s="1068" t="s">
        <v>1739</v>
      </c>
      <c r="BJ54" s="1217" t="s">
        <v>1710</v>
      </c>
      <c r="BL54" s="1217" t="s">
        <v>1710</v>
      </c>
    </row>
    <row customHeight="1" ht="11.25">
      <c r="A55" s="1074" t="s">
        <v>1763</v>
      </c>
      <c r="AX55" s="1120" t="s">
        <v>1764</v>
      </c>
      <c r="AZ55" s="1120" t="s">
        <v>1303</v>
      </c>
      <c r="BE55" s="1120">
        <v>2051</v>
      </c>
      <c r="BH55" s="1070" t="s">
        <v>22</v>
      </c>
      <c r="BJ55" s="1217" t="s">
        <v>1130</v>
      </c>
      <c r="BL55" s="1217" t="s">
        <v>1130</v>
      </c>
    </row>
    <row customHeight="1" ht="11.25">
      <c r="A56" s="1074" t="s">
        <v>1765</v>
      </c>
      <c r="D56" s="1118" t="s">
        <v>1766</v>
      </c>
      <c r="E56" s="1095" t="s">
        <v>100</v>
      </c>
      <c r="F56" s="1074" t="s">
        <v>1767</v>
      </c>
      <c r="AX56" s="1120" t="s">
        <v>1768</v>
      </c>
      <c r="AZ56" s="1120" t="s">
        <v>1329</v>
      </c>
      <c r="BE56" s="1120">
        <v>2052</v>
      </c>
      <c r="BH56" s="1070" t="s">
        <v>22</v>
      </c>
      <c r="BJ56" s="1217" t="s">
        <v>1717</v>
      </c>
      <c r="BL56" s="1217" t="s">
        <v>1717</v>
      </c>
    </row>
    <row customHeight="1" ht="11.25">
      <c r="A57" s="1074" t="s">
        <v>1769</v>
      </c>
      <c r="D57" s="1118" t="s">
        <v>1770</v>
      </c>
      <c r="E57" s="1095" t="s">
        <v>1771</v>
      </c>
      <c r="F57" s="1074" t="s">
        <v>1767</v>
      </c>
      <c r="AX57" s="1120" t="s">
        <v>1772</v>
      </c>
      <c r="AZ57" s="1120" t="s">
        <v>1364</v>
      </c>
      <c r="BE57" s="1120">
        <v>2053</v>
      </c>
      <c r="BJ57" s="1217" t="s">
        <v>1726</v>
      </c>
      <c r="BL57" s="1217" t="s">
        <v>1726</v>
      </c>
    </row>
    <row customHeight="1" ht="11.25">
      <c r="A58" s="1074" t="s">
        <v>1773</v>
      </c>
      <c r="D58" s="1118" t="s">
        <v>1774</v>
      </c>
      <c r="E58" s="1095" t="s">
        <v>1759</v>
      </c>
      <c r="F58" s="1074" t="s">
        <v>1767</v>
      </c>
      <c r="AX58" s="1120" t="s">
        <v>1775</v>
      </c>
      <c r="BE58" s="1120">
        <v>2054</v>
      </c>
      <c r="BJ58" s="1217" t="s">
        <v>1730</v>
      </c>
      <c r="BL58" s="1217" t="s">
        <v>1730</v>
      </c>
    </row>
    <row customHeight="1" ht="11.25">
      <c r="A59" s="1074" t="s">
        <v>1776</v>
      </c>
      <c r="D59" s="1118" t="s">
        <v>138</v>
      </c>
      <c r="E59" s="1095" t="s">
        <v>1663</v>
      </c>
      <c r="F59" s="1074" t="s">
        <v>1777</v>
      </c>
      <c r="AX59" s="1120" t="s">
        <v>1778</v>
      </c>
      <c r="AZ59" s="1067" t="s">
        <v>1779</v>
      </c>
      <c r="BE59" s="1120">
        <v>2055</v>
      </c>
      <c r="BJ59" s="1217" t="s">
        <v>1734</v>
      </c>
      <c r="BL59" s="1217" t="s">
        <v>1734</v>
      </c>
    </row>
    <row customHeight="1" ht="11.25">
      <c r="A60" s="1074" t="s">
        <v>1780</v>
      </c>
      <c r="D60" s="1118" t="s">
        <v>1781</v>
      </c>
      <c r="E60" s="1095" t="s">
        <v>1663</v>
      </c>
      <c r="F60" s="1074" t="s">
        <v>1777</v>
      </c>
      <c r="AX60" s="1120" t="s">
        <v>1782</v>
      </c>
      <c r="AZ60" s="1120" t="s">
        <v>1304</v>
      </c>
      <c r="BE60" s="1120">
        <v>2056</v>
      </c>
      <c r="BJ60" s="1217" t="s">
        <v>1739</v>
      </c>
      <c r="BL60" s="1217" t="s">
        <v>1739</v>
      </c>
    </row>
    <row customHeight="1" ht="11.25">
      <c r="A61" s="1074" t="s">
        <v>1783</v>
      </c>
      <c r="D61" s="1118" t="s">
        <v>1784</v>
      </c>
      <c r="E61" s="1095" t="s">
        <v>1663</v>
      </c>
      <c r="F61" s="1074" t="s">
        <v>1777</v>
      </c>
      <c r="AX61" s="1120" t="s">
        <v>1785</v>
      </c>
      <c r="AZ61" s="1120" t="s">
        <v>1330</v>
      </c>
      <c r="BE61" s="1120">
        <v>2057</v>
      </c>
      <c r="BL61" s="1217" t="s">
        <v>1122</v>
      </c>
    </row>
    <row customHeight="1" ht="11.25">
      <c r="A62" s="1074" t="s">
        <v>1786</v>
      </c>
      <c r="D62" s="1118" t="s">
        <v>137</v>
      </c>
      <c r="E62" s="1095">
        <v>30</v>
      </c>
      <c r="F62" s="1074" t="s">
        <v>1777</v>
      </c>
      <c r="AZ62" s="1120" t="s">
        <v>1365</v>
      </c>
      <c r="BE62" s="1120">
        <v>2058</v>
      </c>
      <c r="BL62" s="1217" t="s">
        <v>1124</v>
      </c>
    </row>
    <row customHeight="1" ht="11.25">
      <c r="A63" s="1074" t="s">
        <v>1787</v>
      </c>
      <c r="D63" s="1118" t="s">
        <v>1788</v>
      </c>
      <c r="E63" s="1095">
        <v>30</v>
      </c>
      <c r="F63" s="1074" t="s">
        <v>1777</v>
      </c>
      <c r="AZ63" s="1120" t="s">
        <v>1396</v>
      </c>
      <c r="BE63" s="1120">
        <v>2059</v>
      </c>
    </row>
    <row customHeight="1" ht="11.25">
      <c r="A64" s="1074" t="s">
        <v>1789</v>
      </c>
      <c r="D64" s="1118" t="s">
        <v>1790</v>
      </c>
      <c r="E64" s="1095">
        <v>30</v>
      </c>
      <c r="F64" s="1074" t="s">
        <v>1777</v>
      </c>
      <c r="AZ64" s="1120" t="s">
        <v>1418</v>
      </c>
      <c r="BE64" s="1120">
        <v>2060</v>
      </c>
    </row>
    <row customHeight="1" ht="11.25">
      <c r="A65" s="1074" t="s">
        <v>1791</v>
      </c>
      <c r="D65" s="1074"/>
      <c r="BE65" s="1120">
        <v>2061</v>
      </c>
    </row>
    <row customHeight="1" ht="11.25">
      <c r="A66" s="1074" t="s">
        <v>1792</v>
      </c>
      <c r="AZ66" s="1067" t="s">
        <v>1793</v>
      </c>
      <c r="BE66" s="1120">
        <v>2062</v>
      </c>
    </row>
    <row customHeight="1" ht="11.25">
      <c r="A67" s="1074" t="s">
        <v>1794</v>
      </c>
      <c r="AZ67" s="1120" t="s">
        <v>1305</v>
      </c>
      <c r="BE67" s="1120">
        <v>2063</v>
      </c>
    </row>
    <row customHeight="1" ht="11.25">
      <c r="A68" s="1074" t="s">
        <v>1795</v>
      </c>
      <c r="AZ68" s="1120" t="s">
        <v>1331</v>
      </c>
      <c r="BE68" s="1120">
        <v>2064</v>
      </c>
      <c r="BH68" s="1067" t="s">
        <v>1796</v>
      </c>
      <c r="BJ68" s="1067" t="s">
        <v>1797</v>
      </c>
      <c r="BL68" s="1067" t="s">
        <v>1798</v>
      </c>
      <c r="BN68" s="1067" t="s">
        <v>1799</v>
      </c>
    </row>
    <row customHeight="1" ht="11.25">
      <c r="A69" s="1074" t="s">
        <v>1800</v>
      </c>
      <c r="AZ69" s="1120" t="s">
        <v>1366</v>
      </c>
      <c r="BE69" s="1120">
        <v>2065</v>
      </c>
      <c r="BH69" s="1068" t="s">
        <v>1801</v>
      </c>
      <c r="BI69" s="1117" t="s">
        <v>110</v>
      </c>
      <c r="BJ69" s="1068" t="s">
        <v>1802</v>
      </c>
      <c r="BK69" s="1117" t="s">
        <v>110</v>
      </c>
      <c r="BL69" s="1068" t="s">
        <v>1803</v>
      </c>
      <c r="BM69" s="1070" t="s">
        <v>110</v>
      </c>
      <c r="BN69" s="1068" t="s">
        <v>1804</v>
      </c>
    </row>
    <row customHeight="1" ht="11.25">
      <c r="A70" s="1074" t="s">
        <v>1805</v>
      </c>
      <c r="AZ70" s="1120" t="s">
        <v>1397</v>
      </c>
      <c r="BE70" s="1120">
        <v>2066</v>
      </c>
      <c r="BH70" s="1068" t="s">
        <v>1806</v>
      </c>
      <c r="BJ70" s="1068" t="s">
        <v>1807</v>
      </c>
      <c r="BL70" s="1068" t="s">
        <v>1808</v>
      </c>
      <c r="BN70" s="1068" t="s">
        <v>1809</v>
      </c>
    </row>
    <row customHeight="1" ht="11.25">
      <c r="A71" s="1074" t="s">
        <v>1810</v>
      </c>
      <c r="AZ71" s="1120" t="s">
        <v>1399</v>
      </c>
      <c r="BE71" s="1120">
        <v>2067</v>
      </c>
      <c r="BH71" s="1068" t="s">
        <v>1811</v>
      </c>
      <c r="BI71" s="1117" t="s">
        <v>91</v>
      </c>
      <c r="BJ71" s="1068" t="s">
        <v>1812</v>
      </c>
      <c r="BK71" s="1117" t="s">
        <v>91</v>
      </c>
      <c r="BL71" s="1068" t="s">
        <v>1813</v>
      </c>
      <c r="BM71" s="1070" t="s">
        <v>91</v>
      </c>
      <c r="BN71" s="1068" t="s">
        <v>1814</v>
      </c>
    </row>
    <row customHeight="1" ht="11.25">
      <c r="A72" s="1074" t="s">
        <v>16</v>
      </c>
      <c r="AZ72" s="1120" t="s">
        <v>19</v>
      </c>
      <c r="BE72" s="1120">
        <v>2068</v>
      </c>
      <c r="BH72" s="1068" t="s">
        <v>1815</v>
      </c>
      <c r="BJ72" s="1068" t="s">
        <v>1815</v>
      </c>
      <c r="BL72" s="1068" t="s">
        <v>1815</v>
      </c>
      <c r="BN72" s="1068" t="s">
        <v>1816</v>
      </c>
    </row>
    <row customHeight="1" ht="11.25">
      <c r="A73" s="1074" t="s">
        <v>1817</v>
      </c>
      <c r="BE73" s="1120">
        <v>2069</v>
      </c>
      <c r="BH73" s="1068" t="s">
        <v>1818</v>
      </c>
      <c r="BI73" s="1117" t="s">
        <v>100</v>
      </c>
      <c r="BJ73" s="1068" t="s">
        <v>1819</v>
      </c>
      <c r="BK73" s="1117" t="s">
        <v>100</v>
      </c>
      <c r="BL73" s="1068" t="s">
        <v>1820</v>
      </c>
      <c r="BM73" s="1070" t="s">
        <v>100</v>
      </c>
      <c r="BN73" s="1068" t="s">
        <v>1821</v>
      </c>
    </row>
    <row customHeight="1" ht="11.25">
      <c r="A74" s="1074" t="s">
        <v>1822</v>
      </c>
      <c r="BE74" s="1120">
        <v>2070</v>
      </c>
      <c r="BH74" s="1068" t="s">
        <v>1823</v>
      </c>
      <c r="BJ74" s="1068" t="s">
        <v>1824</v>
      </c>
      <c r="BL74" s="1068" t="s">
        <v>1825</v>
      </c>
      <c r="BN74" s="1068" t="s">
        <v>1826</v>
      </c>
    </row>
    <row customHeight="1" ht="11.25">
      <c r="A75" s="1074" t="s">
        <v>1827</v>
      </c>
      <c r="AZ75" s="1067" t="s">
        <v>1828</v>
      </c>
      <c r="BH75" s="1068" t="s">
        <v>1829</v>
      </c>
      <c r="BJ75" s="1068" t="s">
        <v>1829</v>
      </c>
      <c r="BL75" s="1068" t="s">
        <v>1829</v>
      </c>
    </row>
    <row customHeight="1" ht="11.25">
      <c r="A76" s="1074" t="s">
        <v>1830</v>
      </c>
      <c r="AZ76" s="1120" t="s">
        <v>1314</v>
      </c>
      <c r="BH76" s="1068" t="s">
        <v>1831</v>
      </c>
      <c r="BJ76" s="1068" t="s">
        <v>1832</v>
      </c>
      <c r="BL76" s="1068" t="s">
        <v>1833</v>
      </c>
    </row>
    <row customHeight="1" ht="11.25">
      <c r="A77" s="1074" t="s">
        <v>1834</v>
      </c>
      <c r="AZ77" s="1120" t="s">
        <v>1341</v>
      </c>
    </row>
    <row customHeight="1" ht="11.25">
      <c r="A78" s="1074" t="s">
        <v>1835</v>
      </c>
      <c r="AZ78" s="1120" t="s">
        <v>1373</v>
      </c>
    </row>
    <row customHeight="1" ht="11.25">
      <c r="A79" s="1074" t="s">
        <v>1836</v>
      </c>
      <c r="AZ79" s="1120" t="s">
        <v>1403</v>
      </c>
      <c r="BH79" s="1067" t="s">
        <v>1837</v>
      </c>
      <c r="BJ79" s="1067" t="s">
        <v>1838</v>
      </c>
      <c r="BL79" s="1067" t="s">
        <v>1839</v>
      </c>
    </row>
    <row customHeight="1" ht="11.25">
      <c r="A80" s="1074" t="s">
        <v>1840</v>
      </c>
      <c r="AZ80" s="1120" t="s">
        <v>1423</v>
      </c>
      <c r="BH80" s="1068" t="s">
        <v>1841</v>
      </c>
      <c r="BJ80" s="1068" t="s">
        <v>1842</v>
      </c>
      <c r="BL80" s="1068" t="s">
        <v>1843</v>
      </c>
    </row>
    <row customHeight="1" ht="11.25">
      <c r="A81" s="1074" t="s">
        <v>1844</v>
      </c>
      <c r="AZ81" s="1120" t="s">
        <v>1440</v>
      </c>
      <c r="BH81" s="1068" t="s">
        <v>1845</v>
      </c>
      <c r="BJ81" s="1068" t="s">
        <v>1846</v>
      </c>
      <c r="BL81" s="1068" t="s">
        <v>1847</v>
      </c>
    </row>
    <row customHeight="1" ht="11.25">
      <c r="A82" s="1074" t="s">
        <v>1848</v>
      </c>
      <c r="AZ82" s="1120" t="s">
        <v>1453</v>
      </c>
      <c r="BH82" s="1068" t="s">
        <v>1849</v>
      </c>
      <c r="BJ82" s="1068" t="s">
        <v>1850</v>
      </c>
      <c r="BL82" s="1068" t="s">
        <v>1851</v>
      </c>
    </row>
    <row customHeight="1" ht="11.25">
      <c r="A83" s="1074" t="s">
        <v>1852</v>
      </c>
      <c r="BH83" s="1068" t="s">
        <v>1853</v>
      </c>
      <c r="BJ83" s="1068" t="s">
        <v>1854</v>
      </c>
      <c r="BL83" s="1068" t="s">
        <v>1855</v>
      </c>
    </row>
    <row customHeight="1" ht="11.25">
      <c r="A84" s="1074" t="s">
        <v>1856</v>
      </c>
      <c r="AZ84" s="1067" t="s">
        <v>1857</v>
      </c>
    </row>
    <row customHeight="1" ht="11.25">
      <c r="A85" s="1867" t="s">
        <v>1858</v>
      </c>
      <c r="AZ85" s="1120" t="s">
        <v>1859</v>
      </c>
    </row>
    <row customHeight="1" ht="11.25">
      <c r="A86" s="1074" t="s">
        <v>1860</v>
      </c>
      <c r="AZ86" s="1120" t="s">
        <v>1861</v>
      </c>
      <c r="BH86" s="1067" t="s">
        <v>1862</v>
      </c>
      <c r="BJ86" s="1067" t="s">
        <v>1863</v>
      </c>
      <c r="BL86" s="1067" t="s">
        <v>1864</v>
      </c>
    </row>
    <row customHeight="1" ht="11.25">
      <c r="A87" s="1074" t="s">
        <v>1865</v>
      </c>
      <c r="AZ87" s="1120" t="s">
        <v>1866</v>
      </c>
      <c r="BH87" s="1068" t="s">
        <v>1867</v>
      </c>
      <c r="BJ87" s="1068" t="s">
        <v>1868</v>
      </c>
      <c r="BL87" s="1068" t="s">
        <v>1869</v>
      </c>
    </row>
    <row customHeight="1" ht="11.25">
      <c r="A88" s="1074" t="s">
        <v>1870</v>
      </c>
      <c r="AZ88" s="1606"/>
      <c r="BH88" s="1068" t="s">
        <v>1871</v>
      </c>
      <c r="BJ88" s="1068" t="s">
        <v>1872</v>
      </c>
      <c r="BL88" s="1068" t="s">
        <v>1873</v>
      </c>
    </row>
    <row customHeight="1" ht="11.25">
      <c r="A89" s="1074" t="s">
        <v>1874</v>
      </c>
      <c r="AZ89" s="1067" t="s">
        <v>1875</v>
      </c>
    </row>
    <row customHeight="1" ht="11.25">
      <c r="A90" s="1074" t="s">
        <v>1876</v>
      </c>
      <c r="AZ90" s="1120" t="s">
        <v>1100</v>
      </c>
    </row>
    <row customHeight="1" ht="11.25">
      <c r="A91" s="1074" t="s">
        <v>1877</v>
      </c>
      <c r="AZ91" s="1120" t="s">
        <v>1136</v>
      </c>
      <c r="BH91" s="1067" t="s">
        <v>1878</v>
      </c>
      <c r="BJ91" s="1067" t="s">
        <v>1879</v>
      </c>
      <c r="BL91" s="1067" t="s">
        <v>1880</v>
      </c>
    </row>
    <row customHeight="1" ht="11.25">
      <c r="AZ92" s="1120" t="s">
        <v>1881</v>
      </c>
      <c r="BH92" s="1068" t="s">
        <v>1882</v>
      </c>
      <c r="BJ92" s="1068" t="s">
        <v>1883</v>
      </c>
      <c r="BL92" s="1068" t="s">
        <v>1884</v>
      </c>
    </row>
    <row customHeight="1" ht="11.25">
      <c r="AZ93" s="1120" t="s">
        <v>1885</v>
      </c>
      <c r="BH93" s="1068" t="s">
        <v>1886</v>
      </c>
      <c r="BJ93" s="1068" t="s">
        <v>1887</v>
      </c>
      <c r="BL93" s="1068" t="s">
        <v>1888</v>
      </c>
    </row>
    <row customHeight="1" ht="11.25">
      <c r="AZ94" s="1120" t="s">
        <v>1889</v>
      </c>
    </row>
    <row r="96" customHeight="1" ht="11.25">
      <c r="AZ96" s="1067" t="s">
        <v>1890</v>
      </c>
      <c r="BH96" s="1067" t="s">
        <v>1891</v>
      </c>
      <c r="BJ96" s="1067" t="s">
        <v>1892</v>
      </c>
      <c r="BL96" s="1067" t="s">
        <v>1893</v>
      </c>
      <c r="BN96" s="1067" t="s">
        <v>1894</v>
      </c>
    </row>
    <row customHeight="1" ht="11.25">
      <c r="AZ97" s="1898" t="s">
        <v>1895</v>
      </c>
      <c r="BA97" s="1899" t="s">
        <v>1896</v>
      </c>
      <c r="BH97" s="1068" t="s">
        <v>1897</v>
      </c>
      <c r="BJ97" s="1068" t="s">
        <v>1898</v>
      </c>
      <c r="BL97" s="1068" t="s">
        <v>1899</v>
      </c>
      <c r="BN97" s="1068" t="s">
        <v>1900</v>
      </c>
    </row>
    <row customHeight="1" ht="11.25">
      <c r="AZ98" s="1898" t="s">
        <v>1901</v>
      </c>
      <c r="BA98" s="1899" t="s">
        <v>1902</v>
      </c>
      <c r="BH98" s="1068" t="s">
        <v>1903</v>
      </c>
      <c r="BJ98" s="1068" t="s">
        <v>1904</v>
      </c>
      <c r="BL98" s="1068" t="s">
        <v>1905</v>
      </c>
      <c r="BN98" s="1068" t="s">
        <v>1906</v>
      </c>
    </row>
    <row customHeight="1" ht="22.5">
      <c r="AZ99" s="1898" t="s">
        <v>1907</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1908</v>
      </c>
      <c r="BJ99" s="1068" t="s">
        <v>1909</v>
      </c>
      <c r="BL99" s="1068" t="s">
        <v>1910</v>
      </c>
      <c r="BN99" s="1068" t="s">
        <v>1911</v>
      </c>
    </row>
    <row customHeight="1" ht="22.5">
      <c r="AZ100" s="1898" t="s">
        <v>1912</v>
      </c>
      <c r="BA100"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1499</v>
      </c>
      <c r="BL100" s="1068" t="s">
        <v>1499</v>
      </c>
      <c r="BN100" s="1068" t="s">
        <v>1913</v>
      </c>
    </row>
    <row customHeight="1" ht="22.5">
      <c r="AZ101" s="1898" t="s">
        <v>1914</v>
      </c>
      <c r="BA101" s="1899" t="s">
        <v>1915</v>
      </c>
      <c r="BN101" s="1068" t="s">
        <v>1916</v>
      </c>
    </row>
    <row customHeight="1" ht="22.5">
      <c r="AZ102" s="1898" t="s">
        <v>1917</v>
      </c>
      <c r="BA102"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1918</v>
      </c>
    </row>
    <row customHeight="1" ht="11.25">
      <c r="AZ103" s="1898" t="s">
        <v>1919</v>
      </c>
      <c r="BA103" s="1899" t="s">
        <v>1920</v>
      </c>
      <c r="BN103" s="1068" t="s">
        <v>1921</v>
      </c>
    </row>
    <row customHeight="1" ht="11.25">
      <c r="BN104" s="1068" t="s">
        <v>1922</v>
      </c>
    </row>
    <row customHeight="1" ht="11.25">
      <c r="AZ105" s="1691" t="s">
        <v>1923</v>
      </c>
    </row>
    <row customHeight="1" ht="11.25">
      <c r="AZ106" s="1120" t="s">
        <v>1924</v>
      </c>
    </row>
    <row customHeight="1" ht="11.25">
      <c r="AZ107" s="1120" t="s">
        <v>1925</v>
      </c>
      <c r="BH107" s="1067" t="s">
        <v>1926</v>
      </c>
      <c r="BJ107" s="1067" t="s">
        <v>1927</v>
      </c>
      <c r="BL107" s="1067" t="s">
        <v>1928</v>
      </c>
      <c r="BN107" s="1067" t="s">
        <v>1929</v>
      </c>
    </row>
    <row customHeight="1" ht="11.25">
      <c r="AZ108" s="1120" t="s">
        <v>580</v>
      </c>
      <c r="BH108" s="1068" t="s">
        <v>1930</v>
      </c>
      <c r="BJ108" s="1068" t="s">
        <v>1931</v>
      </c>
      <c r="BL108" s="1068" t="s">
        <v>1586</v>
      </c>
      <c r="BN108" s="1068" t="s">
        <v>1932</v>
      </c>
    </row>
    <row customHeight="1" ht="11.25">
      <c r="BH109" s="1068" t="s">
        <v>1933</v>
      </c>
    </row>
    <row customHeight="1" ht="11.25">
      <c r="AZ110" s="1691" t="s">
        <v>1934</v>
      </c>
      <c r="BH110" s="1068" t="s">
        <v>1933</v>
      </c>
    </row>
    <row customHeight="1" ht="11.25">
      <c r="AZ111" s="1898" t="s">
        <v>1895</v>
      </c>
      <c r="BA111" s="1899" t="s">
        <v>1896</v>
      </c>
    </row>
    <row customHeight="1" ht="11.25">
      <c r="AZ112" s="1898" t="s">
        <v>1901</v>
      </c>
      <c r="BA112" s="1899" t="s">
        <v>1902</v>
      </c>
    </row>
    <row customHeight="1" ht="22.5">
      <c r="AZ113" s="1898" t="s">
        <v>1907</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1912</v>
      </c>
      <c r="BA114"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1935</v>
      </c>
    </row>
    <row customHeight="1" ht="22.5">
      <c r="AZ115" s="1898" t="s">
        <v>1917</v>
      </c>
      <c r="BA115"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1301</v>
      </c>
    </row>
    <row customHeight="1" ht="11.25">
      <c r="AZ116" s="1898" t="s">
        <v>1919</v>
      </c>
      <c r="BA116" s="1899" t="s">
        <v>1920</v>
      </c>
      <c r="BH116" s="1068" t="s">
        <v>1327</v>
      </c>
    </row>
    <row customHeight="1" ht="11.25">
      <c r="BH117" s="1068" t="s">
        <v>1362</v>
      </c>
    </row>
    <row customHeight="1" ht="11.25">
      <c r="BH118" s="1068" t="s">
        <v>1394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3095E-2258-D845-12D8-D48D5AC080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29" t="s">
        <v>121</v>
      </c>
      <c r="D2" s="1520"/>
      <c r="E2" s="1526"/>
      <c r="F2" s="1549"/>
      <c r="H2" s="475"/>
      <c r="J2" s="455">
        <v>0</v>
      </c>
    </row>
    <row customHeight="1" ht="11.25" hidden="1">
      <c r="J3" s="455">
        <v>0</v>
      </c>
    </row>
    <row customHeight="1" ht="11.549999999999999">
      <c r="A4" s="1550"/>
      <c r="B4" s="1550"/>
      <c r="J4" s="455">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8"/>
      <c r="F5" s="2259"/>
      <c r="I5" s="715"/>
      <c r="J5" s="455">
        <v>26</v>
      </c>
    </row>
    <row customHeight="1" ht="18">
      <c r="D6" s="2195" t="str">
        <f>IF(region_name=0,"Не определено",region_name)</f>
        <v>Сахалинская область</v>
      </c>
      <c r="E6" s="2195"/>
      <c r="F6" s="2195"/>
      <c r="I6" s="715"/>
      <c r="J6" s="455">
        <v>17</v>
      </c>
    </row>
    <row s="477" customFormat="1" customHeight="1" ht="11.549999999999999">
      <c r="A7" s="501"/>
      <c r="B7" s="501"/>
      <c r="D7" s="714"/>
      <c r="E7" s="714"/>
      <c r="F7" s="752"/>
      <c r="G7" s="714"/>
      <c r="J7" s="477">
        <v>11</v>
      </c>
    </row>
    <row customHeight="1" ht="11.25" hidden="1">
      <c r="A8" s="502"/>
      <c r="B8" s="502"/>
      <c r="C8" s="457"/>
      <c r="D8" s="463"/>
      <c r="E8" s="2226"/>
      <c r="F8" s="2226"/>
      <c r="J8" s="455">
        <v>0</v>
      </c>
    </row>
    <row customHeight="1" ht="11.549999999999999">
      <c r="A9" s="502"/>
      <c r="B9" s="502"/>
      <c r="C9" s="457"/>
      <c r="D9" s="2223" t="s">
        <v>305</v>
      </c>
      <c r="E9" s="2224"/>
      <c r="F9" s="2224"/>
      <c r="G9" s="2227" t="s">
        <v>306</v>
      </c>
      <c r="J9" s="455">
        <v>11</v>
      </c>
    </row>
    <row customHeight="1" ht="11.549999999999999">
      <c r="A10" s="502"/>
      <c r="B10" s="502"/>
      <c r="C10" s="457"/>
      <c r="D10" s="1474" t="s">
        <v>89</v>
      </c>
      <c r="E10" s="1476" t="s">
        <v>307</v>
      </c>
      <c r="F10" s="1476" t="s">
        <v>308</v>
      </c>
      <c r="G10" s="2228"/>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5"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1936</v>
      </c>
      <c r="F13" s="1521" t="s">
        <v>311</v>
      </c>
      <c r="G13" s="474"/>
      <c r="H13" s="1533"/>
      <c r="J13" s="455">
        <v>19</v>
      </c>
    </row>
    <row customHeight="1" ht="19.95">
      <c r="A14" s="502"/>
      <c r="B14" s="502"/>
      <c r="C14" s="457"/>
      <c r="D14" s="1523" t="s">
        <v>734</v>
      </c>
      <c r="E14" s="1524" t="s">
        <v>1937</v>
      </c>
      <c r="F14" s="1526"/>
      <c r="G14" s="1525" t="s">
        <v>1938</v>
      </c>
      <c r="H14" s="1533"/>
      <c r="J14" s="455">
        <v>19</v>
      </c>
    </row>
    <row customHeight="1" ht="19.95">
      <c r="A15" s="502"/>
      <c r="B15" s="502"/>
      <c r="C15" s="457"/>
      <c r="D15" s="1523" t="s">
        <v>312</v>
      </c>
      <c r="E15" s="1524" t="s">
        <v>1939</v>
      </c>
      <c r="F15" s="1526"/>
      <c r="G15" s="1525" t="s">
        <v>1940</v>
      </c>
      <c r="H15" s="1533"/>
      <c r="J15" s="455">
        <v>19</v>
      </c>
    </row>
    <row customHeight="1" ht="24">
      <c r="A16" s="502"/>
      <c r="B16" s="502"/>
      <c r="C16" s="457"/>
      <c r="D16" s="1523" t="s">
        <v>315</v>
      </c>
      <c r="E16" s="1522" t="s">
        <v>1941</v>
      </c>
      <c r="F16" s="1531"/>
      <c r="G16" s="474" t="s">
        <v>1942</v>
      </c>
      <c r="H16" s="1533"/>
      <c r="J16" s="455">
        <v>23</v>
      </c>
    </row>
    <row customHeight="1" ht="48.29999999999999">
      <c r="A17" s="502"/>
      <c r="B17" s="502"/>
      <c r="C17" s="457"/>
      <c r="D17" s="1520">
        <v>3</v>
      </c>
      <c r="E17" s="1527" t="s">
        <v>1943</v>
      </c>
      <c r="F17" s="1526"/>
      <c r="G17" s="474" t="s">
        <v>1944</v>
      </c>
      <c r="H17" s="1533"/>
      <c r="J17" s="455">
        <v>46</v>
      </c>
    </row>
    <row customHeight="1" ht="48.29999999999999">
      <c r="A18" s="1475">
        <v>1</v>
      </c>
      <c r="B18" s="502"/>
      <c r="C18" s="1477"/>
      <c r="D18" s="1520" t="s">
        <v>92</v>
      </c>
      <c r="E18" s="1527" t="s">
        <v>1945</v>
      </c>
      <c r="F18" s="1526"/>
      <c r="G18" s="474" t="s">
        <v>1944</v>
      </c>
      <c r="H18" s="1533"/>
      <c r="I18" s="852"/>
      <c r="J18" s="455">
        <v>46</v>
      </c>
    </row>
    <row customHeight="1" ht="23.25">
      <c r="A19" s="502"/>
      <c r="B19" s="502"/>
      <c r="C19" s="457"/>
      <c r="D19" s="1520" t="s">
        <v>100</v>
      </c>
      <c r="E19" s="1527" t="s">
        <v>1946</v>
      </c>
      <c r="F19" s="1521" t="s">
        <v>311</v>
      </c>
      <c r="G19" s="2490" t="s">
        <v>1947</v>
      </c>
      <c r="H19" s="475"/>
      <c r="J19" s="455">
        <v>22</v>
      </c>
    </row>
    <row s="1530" customFormat="1" customHeight="1" ht="5.25" hidden="1">
      <c r="A20" s="502"/>
      <c r="B20" s="502"/>
      <c r="C20" s="1529"/>
      <c r="D20" s="1528" t="s">
        <v>1200</v>
      </c>
      <c r="E20" s="1014"/>
      <c r="F20" s="1013"/>
      <c r="G20" s="2491"/>
      <c r="J20" s="1530">
        <v>0</v>
      </c>
    </row>
    <row customHeight="1" ht="15.75">
      <c r="A21" s="502"/>
      <c r="B21" s="502"/>
      <c r="C21" s="457"/>
      <c r="D21" s="467"/>
      <c r="E21" s="415" t="s">
        <v>344</v>
      </c>
      <c r="F21" s="469"/>
      <c r="G21" s="2492"/>
      <c r="H21" s="1533"/>
      <c r="J21" s="455">
        <v>15</v>
      </c>
    </row>
    <row s="501" customFormat="1" customHeight="1" ht="26.25">
      <c r="A22" s="502"/>
      <c r="B22" s="502"/>
      <c r="C22" s="502"/>
      <c r="D22" s="1520" t="s">
        <v>93</v>
      </c>
      <c r="E22" s="474" t="s">
        <v>1948</v>
      </c>
      <c r="F22" s="1526"/>
      <c r="G22" s="474" t="s">
        <v>1949</v>
      </c>
      <c r="H22" s="1532"/>
      <c r="J22" s="501">
        <v>25</v>
      </c>
    </row>
    <row s="501" customFormat="1" customHeight="1" ht="19.95">
      <c r="A23" s="502"/>
      <c r="B23" s="502"/>
      <c r="C23" s="502"/>
      <c r="D23" s="1520" t="s">
        <v>94</v>
      </c>
      <c r="E23" s="1527" t="s">
        <v>1950</v>
      </c>
      <c r="F23" s="1531"/>
      <c r="G23" s="474" t="s">
        <v>1951</v>
      </c>
      <c r="H23" s="1532"/>
      <c r="J23" s="501">
        <v>19</v>
      </c>
    </row>
    <row s="501" customFormat="1" customHeight="1" ht="144" hidden="1">
      <c r="A24" s="502"/>
      <c r="B24" s="502"/>
      <c r="C24" s="502"/>
      <c r="D24" s="1520" t="s">
        <v>112</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DA108-509A-3628-E27D-2D0D839006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1952</v>
      </c>
      <c r="G1" s="1631" t="s">
        <v>48</v>
      </c>
      <c r="H1" s="1631" t="s">
        <v>50</v>
      </c>
      <c r="IU1" s="1155" t="s">
        <v>14</v>
      </c>
    </row>
    <row s="1847" customFormat="1" customHeight="1" ht="22.5" hidden="1">
      <c r="A2" s="831"/>
      <c r="B2" s="1160">
        <v>1</v>
      </c>
      <c r="C2" s="1160"/>
      <c r="D2" s="1925" t="s">
        <v>121</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9"/>
      <c r="G5" s="2119"/>
      <c r="H5" s="2119"/>
      <c r="I5" s="2119"/>
      <c r="J5" s="2119"/>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0" t="s">
        <v>305</v>
      </c>
      <c r="F7" s="2121"/>
      <c r="G7" s="2121"/>
      <c r="H7" s="2121"/>
      <c r="I7" s="2121"/>
      <c r="J7" s="2493" t="s">
        <v>306</v>
      </c>
      <c r="K7" s="500"/>
      <c r="L7" s="500"/>
      <c r="M7" s="500"/>
      <c r="N7" s="500"/>
      <c r="O7" s="226"/>
      <c r="P7" s="500"/>
      <c r="Q7" s="225"/>
      <c r="R7" s="225"/>
      <c r="S7" s="225"/>
      <c r="T7" s="225"/>
      <c r="IU7" s="507">
        <v>14</v>
      </c>
    </row>
    <row s="1818" customFormat="1" customHeight="1" ht="21">
      <c r="A8" s="1155"/>
      <c r="B8" s="1160"/>
      <c r="C8" s="1155"/>
      <c r="D8" s="1495"/>
      <c r="E8" s="1548" t="s">
        <v>89</v>
      </c>
      <c r="F8" s="1540" t="s">
        <v>1952</v>
      </c>
      <c r="G8" s="1540" t="s">
        <v>48</v>
      </c>
      <c r="H8" s="1540" t="s">
        <v>50</v>
      </c>
      <c r="I8" s="1540" t="s">
        <v>1953</v>
      </c>
      <c r="J8" s="2494"/>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1954</v>
      </c>
      <c r="G10" s="1542"/>
      <c r="H10" s="1542"/>
      <c r="I10" s="1896"/>
      <c r="J10" s="2190"/>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55028-8625-D128-6398-A2B3AD6A9CF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121</v>
      </c>
      <c r="E2" s="1886"/>
      <c r="F2" s="1889" t="str">
        <f>IF(ROIV_INFO_NAME="","",ROIV_INFO_NAME)</f>
        <v>Муниципальное унитарное предприятие "Невельские коммунальные сети"</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4"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1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9"/>
      <c r="G5" s="2119"/>
      <c r="H5" s="2119"/>
      <c r="I5" s="2119"/>
      <c r="J5" s="2119"/>
      <c r="K5" s="2119"/>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0" t="s">
        <v>305</v>
      </c>
      <c r="F7" s="2121"/>
      <c r="G7" s="2121"/>
      <c r="H7" s="2121"/>
      <c r="I7" s="2121"/>
      <c r="J7" s="2121"/>
      <c r="K7" s="2121"/>
      <c r="L7" s="2493" t="s">
        <v>306</v>
      </c>
      <c r="M7" s="500"/>
      <c r="N7" s="500"/>
      <c r="O7" s="500"/>
      <c r="P7" s="500"/>
      <c r="Q7" s="226"/>
      <c r="R7" s="500"/>
      <c r="S7" s="225"/>
      <c r="T7" s="225"/>
      <c r="U7" s="225"/>
      <c r="V7" s="225"/>
      <c r="IW7" s="507">
        <v>14</v>
      </c>
    </row>
    <row s="1818" customFormat="1" customHeight="1" ht="67.2">
      <c r="A8" s="1155"/>
      <c r="B8" s="1160"/>
      <c r="C8" s="1155"/>
      <c r="D8" s="1495"/>
      <c r="E8" s="2497" t="s">
        <v>89</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5"/>
      <c r="M8" s="500"/>
      <c r="N8" s="500"/>
      <c r="O8" s="500"/>
      <c r="P8" s="500"/>
      <c r="Q8" s="226"/>
      <c r="R8" s="500"/>
      <c r="S8" s="225"/>
      <c r="T8" s="225"/>
      <c r="U8" s="225"/>
      <c r="V8" s="225"/>
      <c r="IW8" s="507">
        <v>64</v>
      </c>
    </row>
    <row s="1818" customFormat="1" customHeight="1" ht="29.25">
      <c r="A9" s="1155"/>
      <c r="B9" s="1160"/>
      <c r="C9" s="1155"/>
      <c r="D9" s="1495"/>
      <c r="E9" s="2498"/>
      <c r="F9" s="2498"/>
      <c r="G9" s="1537" t="s">
        <v>1955</v>
      </c>
      <c r="H9" s="1537" t="s">
        <v>1956</v>
      </c>
      <c r="I9" s="1537" t="s">
        <v>1957</v>
      </c>
      <c r="J9" s="2498"/>
      <c r="K9" s="2498"/>
      <c r="L9" s="2494"/>
      <c r="M9" s="500"/>
      <c r="N9" s="500"/>
      <c r="O9" s="500"/>
      <c r="P9" s="500"/>
      <c r="Q9" s="226"/>
      <c r="R9" s="500"/>
      <c r="S9" s="225"/>
      <c r="T9" s="225"/>
      <c r="U9" s="225"/>
      <c r="V9" s="225"/>
      <c r="IW9" s="507">
        <v>28</v>
      </c>
    </row>
    <row s="1847" customFormat="1" customHeight="1" ht="23.25">
      <c r="A10" s="2118"/>
      <c r="B10" s="1160">
        <v>1</v>
      </c>
      <c r="C10" s="1160"/>
      <c r="D10" s="800"/>
      <c r="E10" s="798">
        <v>1</v>
      </c>
      <c r="F10" s="1539" t="str">
        <f>IF(ROIV_INFO_NAME="","",ROIV_INFO_NAME)</f>
        <v>Муниципальное унитарное предприятие "Невельские коммунальные сети"</v>
      </c>
      <c r="G10" s="1731" t="s">
        <v>22</v>
      </c>
      <c r="H10" s="1913"/>
      <c r="I10" s="1534"/>
      <c r="J10" s="818"/>
      <c r="K10" s="81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18"/>
      <c r="B11" s="1160"/>
      <c r="C11" s="412"/>
      <c r="D11" s="801"/>
      <c r="E11" s="421"/>
      <c r="F11" s="416" t="s">
        <v>1958</v>
      </c>
      <c r="G11" s="187"/>
      <c r="H11" s="187"/>
      <c r="I11" s="187"/>
      <c r="J11" s="187"/>
      <c r="K11" s="424"/>
      <c r="L11" s="2496"/>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31C78-39D8-F895-EFD8-F8F73FA56C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121</v>
      </c>
      <c r="E2" s="1901"/>
      <c r="F2" s="1903" t="str">
        <f>IF(ROIV_INFO_NAME="","",ROIV_INFO_NAME)</f>
        <v>Муниципальное унитарное предприятие "Невельские коммунальные сети"</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84</v>
      </c>
      <c r="G3" s="1734" t="s">
        <v>85</v>
      </c>
      <c r="H3" s="1890"/>
      <c r="I3" s="1890"/>
      <c r="J3" s="1890"/>
      <c r="K3" s="1890"/>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1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9"/>
      <c r="G5" s="2119"/>
      <c r="H5" s="2119"/>
      <c r="I5" s="2119"/>
      <c r="J5" s="2119"/>
      <c r="K5" s="2119"/>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0" t="s">
        <v>305</v>
      </c>
      <c r="F7" s="2121"/>
      <c r="G7" s="2121"/>
      <c r="H7" s="2121"/>
      <c r="I7" s="2121"/>
      <c r="J7" s="2121"/>
      <c r="K7" s="2121"/>
      <c r="L7" s="2493" t="s">
        <v>306</v>
      </c>
      <c r="M7" s="1624"/>
      <c r="N7" s="1624"/>
      <c r="O7" s="1624"/>
      <c r="P7" s="1624"/>
      <c r="Q7" s="1624"/>
      <c r="R7" s="1624"/>
      <c r="S7" s="225"/>
      <c r="T7" s="225"/>
      <c r="U7" s="225"/>
      <c r="V7" s="225"/>
      <c r="IW7" s="1609">
        <v>14</v>
      </c>
    </row>
    <row s="1818" customFormat="1" customHeight="1" ht="67.2">
      <c r="A8" s="1631"/>
      <c r="B8" s="1366"/>
      <c r="C8" s="1631"/>
      <c r="D8" s="1515"/>
      <c r="E8" s="2497" t="s">
        <v>89</v>
      </c>
      <c r="F8" s="2497" t="s">
        <v>1959</v>
      </c>
      <c r="G8" s="2499" t="s">
        <v>1960</v>
      </c>
      <c r="H8" s="2500"/>
      <c r="I8" s="2501"/>
      <c r="J8" s="2497" t="s">
        <v>1961</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5"/>
      <c r="M8" s="1624"/>
      <c r="N8" s="1624"/>
      <c r="O8" s="1624"/>
      <c r="P8" s="1624"/>
      <c r="Q8" s="1624"/>
      <c r="R8" s="1624"/>
      <c r="S8" s="225"/>
      <c r="T8" s="225"/>
      <c r="U8" s="225"/>
      <c r="V8" s="225"/>
      <c r="IW8" s="1609">
        <v>64</v>
      </c>
    </row>
    <row s="1818" customFormat="1" customHeight="1" ht="29.25">
      <c r="A9" s="1631"/>
      <c r="B9" s="1366"/>
      <c r="C9" s="1631"/>
      <c r="D9" s="1515"/>
      <c r="E9" s="2498"/>
      <c r="F9" s="2498"/>
      <c r="G9" s="1891" t="s">
        <v>1955</v>
      </c>
      <c r="H9" s="1891" t="s">
        <v>1956</v>
      </c>
      <c r="I9" s="1891" t="s">
        <v>1957</v>
      </c>
      <c r="J9" s="2498"/>
      <c r="K9" s="2498"/>
      <c r="L9" s="2494"/>
      <c r="M9" s="1624"/>
      <c r="N9" s="1624"/>
      <c r="O9" s="1624"/>
      <c r="P9" s="1624"/>
      <c r="Q9" s="1624"/>
      <c r="R9" s="1624"/>
      <c r="S9" s="225"/>
      <c r="T9" s="225"/>
      <c r="U9" s="225"/>
      <c r="V9" s="225"/>
      <c r="IW9" s="1609">
        <v>28</v>
      </c>
    </row>
    <row s="1847" customFormat="1" customHeight="1" ht="1.05">
      <c r="A10" s="2118"/>
      <c r="B10" s="1366">
        <v>1</v>
      </c>
      <c r="C10" s="1366"/>
      <c r="D10" s="800"/>
      <c r="E10" s="795">
        <v>0</v>
      </c>
      <c r="F10" s="1888" t="str">
        <f>IF(ROIV_INFO_NAME="","",ROIV_INFO_NAME)</f>
        <v>Муниципальное унитарное предприятие "Невельские коммунальные сети"</v>
      </c>
      <c r="G10" s="1732" t="s">
        <v>22</v>
      </c>
      <c r="H10" s="1900"/>
      <c r="I10" s="1900"/>
      <c r="J10" s="519"/>
      <c r="K10" s="519"/>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18"/>
      <c r="B11" s="1366"/>
      <c r="C11" s="412"/>
      <c r="D11" s="801"/>
      <c r="E11" s="421"/>
      <c r="F11" s="651" t="s">
        <v>1958</v>
      </c>
      <c r="G11" s="187"/>
      <c r="H11" s="187"/>
      <c r="I11" s="187"/>
      <c r="J11" s="187"/>
      <c r="K11" s="424"/>
      <c r="L11" s="2496"/>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9DB88-8E3D-0508-4BE8-2D8C87C53F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121</v>
      </c>
      <c r="E2" s="2146">
        <v>1</v>
      </c>
      <c r="F2" s="2322" t="str">
        <f>IF(region_name="","",region_name)</f>
        <v>Сахалинская область</v>
      </c>
      <c r="G2" s="2502"/>
      <c r="H2" s="2503"/>
      <c r="I2" s="474"/>
      <c r="J2" s="1907">
        <v>1</v>
      </c>
      <c r="K2" s="1909"/>
      <c r="L2" s="1909"/>
      <c r="M2" s="1909"/>
      <c r="N2" s="492"/>
      <c r="O2" s="1535"/>
      <c r="P2" s="511"/>
      <c r="Q2" s="423">
        <v>0</v>
      </c>
    </row>
    <row s="1847" customFormat="1" customHeight="1" ht="22.5" hidden="1">
      <c r="A3" s="831"/>
      <c r="B3" s="1160"/>
      <c r="C3" s="1160"/>
      <c r="D3" s="801"/>
      <c r="E3" s="2146"/>
      <c r="F3" s="2322"/>
      <c r="G3" s="2502"/>
      <c r="H3" s="2504"/>
      <c r="I3" s="421"/>
      <c r="J3" s="1500"/>
      <c r="K3" s="1500" t="s">
        <v>1962</v>
      </c>
      <c r="L3" s="1543"/>
      <c r="M3" s="1917"/>
      <c r="N3" s="1910"/>
      <c r="O3" s="1535"/>
      <c r="P3" s="511"/>
      <c r="Q3" s="423">
        <v>0</v>
      </c>
    </row>
    <row s="1642" customFormat="1" customHeight="1" ht="5.25" hidden="1">
      <c r="A4" s="496"/>
      <c r="D4" s="494"/>
      <c r="F4" s="247" t="s">
        <v>84</v>
      </c>
      <c r="G4" s="494" t="s">
        <v>85</v>
      </c>
      <c r="H4" s="494"/>
      <c r="I4" s="1920"/>
      <c r="J4" s="1544"/>
      <c r="K4" s="1908"/>
      <c r="L4" s="1908"/>
      <c r="M4" s="1908"/>
      <c r="N4" s="1904"/>
      <c r="O4" s="247" t="s">
        <v>84</v>
      </c>
      <c r="P4" s="247"/>
      <c r="Q4" s="511">
        <v>0</v>
      </c>
    </row>
    <row s="1847" customFormat="1" customHeight="1" ht="22.5" hidden="1">
      <c r="A5" s="1641"/>
      <c r="B5" s="1366">
        <v>1</v>
      </c>
      <c r="C5" s="1366"/>
      <c r="D5" s="801"/>
      <c r="E5" s="1910"/>
      <c r="F5" s="1910"/>
      <c r="G5" s="1910"/>
      <c r="H5" s="1921"/>
      <c r="I5" s="1926" t="s">
        <v>121</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2"/>
      <c r="J9" s="2512"/>
      <c r="K9" s="2512"/>
      <c r="L9" s="1911"/>
      <c r="M9" s="1912"/>
      <c r="O9" s="1545"/>
      <c r="P9" s="1545"/>
      <c r="Q9" s="1546">
        <v>0</v>
      </c>
    </row>
    <row s="1818" customFormat="1" customHeight="1" ht="14.699999999999998">
      <c r="A10" s="1155"/>
      <c r="B10" s="1160"/>
      <c r="C10" s="1155"/>
      <c r="D10" s="1495"/>
      <c r="E10" s="2146" t="s">
        <v>305</v>
      </c>
      <c r="F10" s="2146"/>
      <c r="G10" s="2146"/>
      <c r="H10" s="2146"/>
      <c r="I10" s="2146"/>
      <c r="J10" s="2146"/>
      <c r="K10" s="2146"/>
      <c r="L10" s="2146"/>
      <c r="M10" s="2120"/>
      <c r="N10" s="2497" t="s">
        <v>306</v>
      </c>
      <c r="O10" s="500"/>
      <c r="P10" s="500"/>
      <c r="Q10" s="507">
        <v>14</v>
      </c>
    </row>
    <row s="1818" customFormat="1" customHeight="1" ht="44.25">
      <c r="A11" s="1631"/>
      <c r="B11" s="1366"/>
      <c r="C11" s="1631"/>
      <c r="D11" s="1515"/>
      <c r="E11" s="2511" t="s">
        <v>89</v>
      </c>
      <c r="F11" s="2511" t="s">
        <v>309</v>
      </c>
      <c r="G11" s="2511" t="s">
        <v>1963</v>
      </c>
      <c r="H11" s="2511"/>
      <c r="I11" s="2511" t="s">
        <v>1964</v>
      </c>
      <c r="J11" s="2511"/>
      <c r="K11" s="2511"/>
      <c r="L11" s="2511" t="s">
        <v>1965</v>
      </c>
      <c r="M11" s="2499" t="s">
        <v>1966</v>
      </c>
      <c r="N11" s="2510"/>
      <c r="O11" s="1624"/>
      <c r="P11" s="1624"/>
      <c r="Q11" s="1609">
        <v>42</v>
      </c>
    </row>
    <row s="1818" customFormat="1" customHeight="1" ht="29.25">
      <c r="A12" s="1155"/>
      <c r="B12" s="1160"/>
      <c r="C12" s="1155"/>
      <c r="D12" s="1495"/>
      <c r="E12" s="2497"/>
      <c r="F12" s="2511"/>
      <c r="G12" s="1906" t="s">
        <v>1967</v>
      </c>
      <c r="H12" s="1906" t="s">
        <v>313</v>
      </c>
      <c r="I12" s="2511"/>
      <c r="J12" s="2511"/>
      <c r="K12" s="2511"/>
      <c r="L12" s="2511"/>
      <c r="M12" s="2499"/>
      <c r="N12" s="2498"/>
      <c r="O12" s="500"/>
      <c r="P12" s="500"/>
      <c r="Q12" s="507">
        <v>28</v>
      </c>
    </row>
    <row s="1847" customFormat="1" customHeight="1" ht="23.25">
      <c r="A13" s="2118">
        <v>26379339</v>
      </c>
      <c r="B13" s="1160">
        <v>1</v>
      </c>
      <c r="C13" s="1160"/>
      <c r="D13" s="801"/>
      <c r="E13" s="2146">
        <v>1</v>
      </c>
      <c r="F13" s="2505" t="str">
        <f>IF(region_name="","",region_name)</f>
        <v>Сахалинская область</v>
      </c>
      <c r="G13" s="2506"/>
      <c r="H13" s="2513"/>
      <c r="I13" s="474"/>
      <c r="J13" s="1902">
        <v>1</v>
      </c>
      <c r="K13" s="1915"/>
      <c r="L13" s="1916"/>
      <c r="M13" s="1916"/>
      <c r="N13" s="2507" t="s">
        <v>1968</v>
      </c>
      <c r="O13" s="1535"/>
      <c r="P13" s="511"/>
      <c r="Q13" s="423">
        <v>22</v>
      </c>
    </row>
    <row s="1847" customFormat="1" customHeight="1" ht="23.25">
      <c r="A14" s="2118"/>
      <c r="B14" s="1160"/>
      <c r="C14" s="1160"/>
      <c r="D14" s="801"/>
      <c r="E14" s="2146"/>
      <c r="F14" s="2505"/>
      <c r="G14" s="2506"/>
      <c r="H14" s="2514"/>
      <c r="I14" s="421"/>
      <c r="J14" s="1500"/>
      <c r="K14" s="1500" t="s">
        <v>1962</v>
      </c>
      <c r="L14" s="1543"/>
      <c r="M14" s="1543"/>
      <c r="N14" s="2508"/>
      <c r="O14" s="1535"/>
      <c r="P14" s="511"/>
      <c r="Q14" s="423">
        <v>22</v>
      </c>
    </row>
    <row s="1847" customFormat="1" customHeight="1" ht="23.25">
      <c r="A15" s="2118"/>
      <c r="B15" s="1160"/>
      <c r="C15" s="412"/>
      <c r="D15" s="801"/>
      <c r="E15" s="421"/>
      <c r="F15" s="1500" t="s">
        <v>1954</v>
      </c>
      <c r="G15" s="1542"/>
      <c r="H15" s="1542"/>
      <c r="I15" s="187"/>
      <c r="J15" s="187"/>
      <c r="K15" s="187"/>
      <c r="L15" s="187"/>
      <c r="M15" s="187"/>
      <c r="N15" s="2508"/>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9D272-B347-9018-B8E9-B9173D56521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19" t="s">
        <v>1969</v>
      </c>
      <c r="E5" s="2119"/>
      <c r="F5" s="2119"/>
      <c r="G5" s="2119"/>
      <c r="H5" s="2119"/>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28" t="s">
        <v>305</v>
      </c>
      <c r="E8" s="2228"/>
      <c r="F8" s="2228"/>
      <c r="G8" s="2228"/>
      <c r="H8" s="2228"/>
      <c r="I8" s="2228" t="s">
        <v>306</v>
      </c>
      <c r="M8" s="121">
        <v>14</v>
      </c>
    </row>
    <row customHeight="1" ht="29.25">
      <c r="D9" s="2228" t="s">
        <v>89</v>
      </c>
      <c r="E9" s="2228" t="s">
        <v>1970</v>
      </c>
      <c r="F9" s="2228"/>
      <c r="G9" s="2228"/>
      <c r="H9" s="2228"/>
      <c r="I9" s="2228"/>
      <c r="M9" s="121">
        <v>28</v>
      </c>
    </row>
    <row customHeight="1" ht="24">
      <c r="D10" s="2228"/>
      <c r="E10" s="127" t="s">
        <v>1971</v>
      </c>
      <c r="F10" s="127" t="s">
        <v>1972</v>
      </c>
      <c r="G10" s="127" t="s">
        <v>1973</v>
      </c>
      <c r="H10" s="127" t="s">
        <v>395</v>
      </c>
      <c r="I10" s="2228"/>
      <c r="M10" s="121">
        <v>23</v>
      </c>
    </row>
    <row customHeight="1" ht="12" hidden="1">
      <c r="D11" s="87" t="s">
        <v>110</v>
      </c>
      <c r="E11" s="87" t="s">
        <v>92</v>
      </c>
      <c r="F11" s="87" t="s">
        <v>100</v>
      </c>
      <c r="G11" s="87" t="s">
        <v>93</v>
      </c>
      <c r="H11" s="87" t="s">
        <v>94</v>
      </c>
      <c r="I11" s="87" t="s">
        <v>112</v>
      </c>
      <c r="M11" s="121">
        <v>0</v>
      </c>
    </row>
    <row s="1822" customFormat="1" customHeight="1" ht="26.25">
      <c r="A12" s="145" t="s">
        <v>91</v>
      </c>
      <c r="B12" s="125" t="s">
        <v>22</v>
      </c>
      <c r="C12" s="126"/>
      <c r="D12" s="128" t="s">
        <v>110</v>
      </c>
      <c r="E12" s="381"/>
      <c r="F12" s="381"/>
      <c r="G12" s="1733" t="s">
        <v>22</v>
      </c>
      <c r="H12" s="382"/>
      <c r="I12" s="2188" t="s">
        <v>1974</v>
      </c>
      <c r="K12" s="272"/>
      <c r="L12" s="273"/>
      <c r="M12" s="117">
        <v>25</v>
      </c>
    </row>
    <row customHeight="1" ht="15.75">
      <c r="A13" s="121"/>
      <c r="B13" s="121"/>
      <c r="C13" s="121"/>
      <c r="D13" s="109"/>
      <c r="E13" s="130" t="s">
        <v>469</v>
      </c>
      <c r="F13" s="129"/>
      <c r="G13" s="129"/>
      <c r="H13" s="214"/>
      <c r="I13" s="2190"/>
      <c r="M13" s="121">
        <v>15</v>
      </c>
    </row>
    <row customHeight="1" ht="3">
      <c r="A14" s="121"/>
      <c r="B14" s="121"/>
      <c r="C14" s="121"/>
      <c r="M14" s="121">
        <v>3</v>
      </c>
    </row>
    <row customHeight="1" ht="29.25">
      <c r="E15" s="2515" t="s">
        <v>1975</v>
      </c>
      <c r="F15" s="2515"/>
      <c r="G15" s="2515"/>
      <c r="H15" s="2515"/>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101ED-BC3B-2F5B-4428-47D97AA125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16" t="s">
        <v>1976</v>
      </c>
      <c r="E7" s="2517"/>
      <c r="F7" s="267"/>
      <c r="J7" s="69">
        <v>22</v>
      </c>
    </row>
    <row customHeight="1" ht="3">
      <c r="C8" s="92"/>
      <c r="D8" s="70"/>
      <c r="E8" s="70"/>
      <c r="J8" s="69">
        <v>3</v>
      </c>
    </row>
    <row customHeight="1" ht="16.8">
      <c r="C9" s="92"/>
      <c r="D9" s="105" t="s">
        <v>89</v>
      </c>
      <c r="E9" s="260" t="s">
        <v>1977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1978</v>
      </c>
      <c r="J13" s="69">
        <v>12</v>
      </c>
    </row>
    <row customHeight="1" ht="3">
      <c r="J14" s="69">
        <v>3</v>
      </c>
    </row>
    <row customHeight="1" ht="23.25">
      <c r="C15" s="137"/>
      <c r="D15" s="2518" t="s">
        <v>1979</v>
      </c>
      <c r="E15" s="2518"/>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0A2F8-8248-C77C-2148-563BB850791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19" t="s">
        <v>1980</v>
      </c>
      <c r="E7" s="2119"/>
      <c r="F7" s="267"/>
      <c r="M7" s="69">
        <v>22</v>
      </c>
    </row>
    <row customHeight="1" ht="3">
      <c r="C8" s="92"/>
      <c r="D8" s="70"/>
      <c r="E8" s="70"/>
      <c r="M8" s="69">
        <v>3</v>
      </c>
    </row>
    <row customHeight="1" ht="16.8">
      <c r="C9" s="92"/>
      <c r="D9" s="105" t="s">
        <v>89</v>
      </c>
      <c r="E9" s="108" t="s">
        <v>292</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1978</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CD9BD-88E8-852B-CBA1-D4CE3A06C7C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210" t="s">
        <v>287</v>
      </c>
      <c r="E4" s="2210"/>
      <c r="F4" s="2210"/>
      <c r="G4" s="2210"/>
      <c r="H4" s="2210"/>
      <c r="I4" s="2210"/>
      <c r="J4" s="2210"/>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195" t="str">
        <f>IF(org=0,"Не определено",org)</f>
        <v>Муниципальное унитарное предприятие "Невельские коммунальные сети"</v>
      </c>
      <c r="E5" s="2195"/>
      <c r="F5" s="2195"/>
      <c r="G5" s="2195"/>
      <c r="H5" s="2195"/>
      <c r="I5" s="2195"/>
      <c r="J5" s="2195"/>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46" t="s">
        <v>89</v>
      </c>
      <c r="E8" s="2146" t="s">
        <v>106</v>
      </c>
      <c r="F8" s="2211" t="s">
        <v>129</v>
      </c>
      <c r="G8" s="2212"/>
      <c r="H8" s="2211" t="s">
        <v>89</v>
      </c>
      <c r="I8" s="2212"/>
      <c r="J8" s="2146" t="s">
        <v>130</v>
      </c>
      <c r="K8" s="1556"/>
      <c r="L8" s="2215" t="s">
        <v>288</v>
      </c>
      <c r="M8" s="2215"/>
      <c r="N8" s="2215"/>
      <c r="O8" s="2215"/>
      <c r="P8" s="2215"/>
      <c r="Q8" s="1557"/>
      <c r="R8" s="2115" t="s">
        <v>289</v>
      </c>
      <c r="S8" s="2216"/>
      <c r="T8" s="2216"/>
      <c r="U8" s="2216"/>
      <c r="V8" s="2216"/>
      <c r="W8" s="1557"/>
      <c r="X8" s="2217" t="s">
        <v>290</v>
      </c>
      <c r="Y8" s="2217"/>
      <c r="Z8" s="2217"/>
      <c r="AA8" s="2217"/>
      <c r="AB8" s="2217"/>
      <c r="AC8" s="1558"/>
      <c r="AD8" s="2146" t="s">
        <v>291</v>
      </c>
      <c r="AE8" s="2146"/>
      <c r="AF8" s="2146"/>
      <c r="AG8" s="2146"/>
      <c r="AH8" s="2120"/>
      <c r="AI8" s="2146" t="s">
        <v>292</v>
      </c>
      <c r="AJ8" s="1574"/>
      <c r="BM8" s="293">
        <v>32</v>
      </c>
    </row>
    <row customHeight="1" ht="23.25">
      <c r="D9" s="2146"/>
      <c r="E9" s="2146"/>
      <c r="F9" s="2194" t="s">
        <v>90</v>
      </c>
      <c r="G9" s="2194" t="s">
        <v>135</v>
      </c>
      <c r="H9" s="2213"/>
      <c r="I9" s="2214"/>
      <c r="J9" s="2120"/>
      <c r="K9" s="1559"/>
      <c r="L9" s="2146" t="s">
        <v>293</v>
      </c>
      <c r="M9" s="2120"/>
      <c r="N9" s="2211" t="s">
        <v>89</v>
      </c>
      <c r="O9" s="2212"/>
      <c r="P9" s="2146" t="s">
        <v>136</v>
      </c>
      <c r="Q9" s="1556"/>
      <c r="R9" s="2146" t="s">
        <v>293</v>
      </c>
      <c r="S9" s="2120"/>
      <c r="T9" s="2211" t="s">
        <v>89</v>
      </c>
      <c r="U9" s="2212"/>
      <c r="V9" s="2146" t="s">
        <v>136</v>
      </c>
      <c r="W9" s="1556"/>
      <c r="X9" s="2146" t="s">
        <v>293</v>
      </c>
      <c r="Y9" s="2120"/>
      <c r="Z9" s="2211" t="s">
        <v>89</v>
      </c>
      <c r="AA9" s="2212"/>
      <c r="AB9" s="2146" t="s">
        <v>294</v>
      </c>
      <c r="AC9" s="1556"/>
      <c r="AD9" s="2146" t="s">
        <v>293</v>
      </c>
      <c r="AE9" s="2120"/>
      <c r="AF9" s="2211" t="s">
        <v>89</v>
      </c>
      <c r="AG9" s="2212"/>
      <c r="AH9" s="2120" t="s">
        <v>294</v>
      </c>
      <c r="AI9" s="2146"/>
      <c r="AJ9" s="1574"/>
      <c r="BM9" s="293">
        <v>22</v>
      </c>
    </row>
    <row customHeight="1" ht="24">
      <c r="D10" s="2194"/>
      <c r="E10" s="2194"/>
      <c r="F10" s="2218"/>
      <c r="G10" s="2218"/>
      <c r="H10" s="2219"/>
      <c r="I10" s="2220"/>
      <c r="J10" s="2211"/>
      <c r="K10" s="1559"/>
      <c r="L10" s="1578" t="s">
        <v>295</v>
      </c>
      <c r="M10" s="1573" t="s">
        <v>296</v>
      </c>
      <c r="N10" s="2213"/>
      <c r="O10" s="2214"/>
      <c r="P10" s="2194"/>
      <c r="Q10" s="1556"/>
      <c r="R10" s="1578" t="s">
        <v>295</v>
      </c>
      <c r="S10" s="1573" t="s">
        <v>296</v>
      </c>
      <c r="T10" s="2213"/>
      <c r="U10" s="2214"/>
      <c r="V10" s="2194"/>
      <c r="W10" s="1556"/>
      <c r="X10" s="1578" t="s">
        <v>295</v>
      </c>
      <c r="Y10" s="1573" t="s">
        <v>296</v>
      </c>
      <c r="Z10" s="2213"/>
      <c r="AA10" s="2214"/>
      <c r="AB10" s="2194"/>
      <c r="AC10" s="1556"/>
      <c r="AD10" s="1578" t="s">
        <v>295</v>
      </c>
      <c r="AE10" s="1573" t="s">
        <v>296</v>
      </c>
      <c r="AF10" s="2213"/>
      <c r="AG10" s="2214"/>
      <c r="AH10" s="2211"/>
      <c r="AI10" s="2194"/>
      <c r="AJ10" s="1574"/>
      <c r="AK10" s="254" t="s">
        <v>297</v>
      </c>
      <c r="AL10" s="254" t="s">
        <v>137</v>
      </c>
      <c r="BM10" s="293">
        <v>23</v>
      </c>
    </row>
    <row customHeight="1" ht="15">
      <c r="D11" s="2202" t="s">
        <v>110</v>
      </c>
      <c r="E11" s="2198" t="s">
        <v>298</v>
      </c>
      <c r="F11" s="2198" t="s">
        <v>299</v>
      </c>
      <c r="G11" s="2204" t="s">
        <v>19</v>
      </c>
      <c r="H11" s="1599"/>
      <c r="I11" s="2200"/>
      <c r="J11" s="2171"/>
      <c r="K11" s="1514"/>
      <c r="L11" s="2156"/>
      <c r="M11" s="2156"/>
      <c r="N11" s="1584"/>
      <c r="O11" s="2156"/>
      <c r="P11" s="2171"/>
      <c r="Q11" s="1585"/>
      <c r="R11" s="2156"/>
      <c r="S11" s="2156"/>
      <c r="T11" s="1586"/>
      <c r="U11" s="2156"/>
      <c r="V11" s="2171"/>
      <c r="W11" s="1587"/>
      <c r="X11" s="2156"/>
      <c r="Y11" s="2156"/>
      <c r="Z11" s="1584"/>
      <c r="AA11" s="2156"/>
      <c r="AB11" s="2171"/>
      <c r="AC11" s="1588"/>
      <c r="AD11" s="2156"/>
      <c r="AE11" s="2156"/>
      <c r="AF11" s="1513"/>
      <c r="AG11" s="1513"/>
      <c r="AH11" s="1589"/>
      <c r="AI11" s="1296"/>
      <c r="AJ11" s="1574"/>
      <c r="BM11" s="293">
        <v>14</v>
      </c>
    </row>
    <row customHeight="1" ht="14.699999999999998">
      <c r="D12" s="2202"/>
      <c r="E12" s="2198"/>
      <c r="F12" s="2198"/>
      <c r="G12" s="2205"/>
      <c r="H12" s="1600"/>
      <c r="I12" s="2201"/>
      <c r="J12" s="2172"/>
      <c r="K12" s="1610"/>
      <c r="L12" s="2157"/>
      <c r="M12" s="2157"/>
      <c r="N12" s="1590"/>
      <c r="O12" s="2157"/>
      <c r="P12" s="2172"/>
      <c r="Q12" s="1591"/>
      <c r="R12" s="2157"/>
      <c r="S12" s="2157"/>
      <c r="T12" s="1592"/>
      <c r="U12" s="2157"/>
      <c r="V12" s="2172"/>
      <c r="W12" s="1593"/>
      <c r="X12" s="2157"/>
      <c r="Y12" s="2157"/>
      <c r="Z12" s="1590"/>
      <c r="AA12" s="2157"/>
      <c r="AB12" s="2172"/>
      <c r="AC12" s="1594"/>
      <c r="AD12" s="2157"/>
      <c r="AE12" s="2157"/>
      <c r="AF12" s="1595"/>
      <c r="AG12" s="1595"/>
      <c r="AH12" s="2196"/>
      <c r="AI12" s="2197"/>
      <c r="AJ12" s="1574"/>
      <c r="BM12" s="293">
        <v>14</v>
      </c>
    </row>
    <row customHeight="1" ht="14.699999999999998">
      <c r="D13" s="2202"/>
      <c r="E13" s="2198"/>
      <c r="F13" s="2198"/>
      <c r="G13" s="2205"/>
      <c r="H13" s="1600"/>
      <c r="I13" s="2201"/>
      <c r="J13" s="2172"/>
      <c r="K13" s="1610"/>
      <c r="L13" s="2157"/>
      <c r="M13" s="2157"/>
      <c r="N13" s="1590"/>
      <c r="O13" s="2157"/>
      <c r="P13" s="2172"/>
      <c r="Q13" s="1591"/>
      <c r="R13" s="2157"/>
      <c r="S13" s="2157"/>
      <c r="T13" s="1592"/>
      <c r="U13" s="2157"/>
      <c r="V13" s="2172"/>
      <c r="W13" s="1593"/>
      <c r="X13" s="2157"/>
      <c r="Y13" s="2157"/>
      <c r="Z13" s="1512"/>
      <c r="AA13" s="1595"/>
      <c r="AB13" s="2196"/>
      <c r="AC13" s="2196"/>
      <c r="AD13" s="2196"/>
      <c r="AE13" s="2196"/>
      <c r="AF13" s="2196"/>
      <c r="AG13" s="2196"/>
      <c r="AH13" s="2196"/>
      <c r="AI13" s="2197"/>
      <c r="AJ13" s="1574"/>
      <c r="BM13" s="293">
        <v>14</v>
      </c>
    </row>
    <row customHeight="1" ht="14.699999999999998">
      <c r="D14" s="2202"/>
      <c r="E14" s="2198"/>
      <c r="F14" s="2198"/>
      <c r="G14" s="2205"/>
      <c r="H14" s="1600"/>
      <c r="I14" s="2201"/>
      <c r="J14" s="2172"/>
      <c r="K14" s="1610"/>
      <c r="L14" s="2157"/>
      <c r="M14" s="2157"/>
      <c r="N14" s="1590"/>
      <c r="O14" s="2157"/>
      <c r="P14" s="2172"/>
      <c r="Q14" s="1591"/>
      <c r="R14" s="2157"/>
      <c r="S14" s="2157"/>
      <c r="T14" s="1596"/>
      <c r="U14" s="1597"/>
      <c r="V14" s="2196"/>
      <c r="W14" s="2196"/>
      <c r="X14" s="2196"/>
      <c r="Y14" s="2196"/>
      <c r="Z14" s="2196"/>
      <c r="AA14" s="2196"/>
      <c r="AB14" s="2196"/>
      <c r="AC14" s="2196"/>
      <c r="AD14" s="2196"/>
      <c r="AE14" s="2196"/>
      <c r="AF14" s="2196"/>
      <c r="AG14" s="2196"/>
      <c r="AH14" s="2196"/>
      <c r="AI14" s="2197"/>
      <c r="AJ14" s="1574"/>
      <c r="BM14" s="293">
        <v>14</v>
      </c>
    </row>
    <row customHeight="1" ht="11.549999999999999">
      <c r="D15" s="2202"/>
      <c r="E15" s="2198"/>
      <c r="F15" s="2198"/>
      <c r="G15" s="2205"/>
      <c r="H15" s="1601"/>
      <c r="I15" s="2201"/>
      <c r="J15" s="2172"/>
      <c r="K15" s="1610"/>
      <c r="L15" s="2157"/>
      <c r="M15" s="2157"/>
      <c r="N15" s="1595"/>
      <c r="O15" s="159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74"/>
      <c r="BM15" s="293">
        <v>11</v>
      </c>
    </row>
    <row s="1554" customFormat="1" customHeight="1" ht="11.549999999999999">
      <c r="D16" s="2208"/>
      <c r="E16" s="2209"/>
      <c r="F16" s="2199"/>
      <c r="G16" s="2131"/>
      <c r="H16" s="1598"/>
      <c r="I16" s="1602"/>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2" t="s">
        <v>111</v>
      </c>
      <c r="E17" s="2198" t="s">
        <v>298</v>
      </c>
      <c r="F17" s="2198" t="s">
        <v>300</v>
      </c>
      <c r="G17" s="2204" t="s">
        <v>19</v>
      </c>
      <c r="H17" s="1599"/>
      <c r="I17" s="2200"/>
      <c r="J17" s="2171"/>
      <c r="K17" s="1514"/>
      <c r="L17" s="2156"/>
      <c r="M17" s="2156"/>
      <c r="N17" s="1584"/>
      <c r="O17" s="2156"/>
      <c r="P17" s="2171"/>
      <c r="Q17" s="1585"/>
      <c r="R17" s="2156"/>
      <c r="S17" s="2156"/>
      <c r="T17" s="1586"/>
      <c r="U17" s="2156"/>
      <c r="V17" s="2171"/>
      <c r="W17" s="1587"/>
      <c r="X17" s="2156"/>
      <c r="Y17" s="2156"/>
      <c r="Z17" s="1584"/>
      <c r="AA17" s="2156"/>
      <c r="AB17" s="2171"/>
      <c r="AC17" s="1588"/>
      <c r="AD17" s="2156"/>
      <c r="AE17" s="2156"/>
      <c r="AF17" s="1513"/>
      <c r="AG17" s="1513"/>
      <c r="AH17" s="1589"/>
      <c r="AI17" s="1296"/>
      <c r="AJ17" s="1574"/>
      <c r="BM17" s="293">
        <v>14</v>
      </c>
    </row>
    <row customHeight="1" ht="14.699999999999998">
      <c r="D18" s="2202"/>
      <c r="E18" s="2198"/>
      <c r="F18" s="2198"/>
      <c r="G18" s="2205"/>
      <c r="H18" s="1600"/>
      <c r="I18" s="2201"/>
      <c r="J18" s="2172"/>
      <c r="K18" s="1583"/>
      <c r="L18" s="2157"/>
      <c r="M18" s="2157"/>
      <c r="N18" s="1590"/>
      <c r="O18" s="2157"/>
      <c r="P18" s="2172"/>
      <c r="Q18" s="1591"/>
      <c r="R18" s="2157"/>
      <c r="S18" s="2157"/>
      <c r="T18" s="1592"/>
      <c r="U18" s="2157"/>
      <c r="V18" s="2172"/>
      <c r="W18" s="1593"/>
      <c r="X18" s="2157"/>
      <c r="Y18" s="2157"/>
      <c r="Z18" s="1590"/>
      <c r="AA18" s="2157"/>
      <c r="AB18" s="2172"/>
      <c r="AC18" s="1594"/>
      <c r="AD18" s="2157"/>
      <c r="AE18" s="2157"/>
      <c r="AF18" s="1595"/>
      <c r="AG18" s="1595"/>
      <c r="AH18" s="2196"/>
      <c r="AI18" s="2197"/>
      <c r="AJ18" s="1574"/>
      <c r="BM18" s="293">
        <v>14</v>
      </c>
    </row>
    <row customHeight="1" ht="14.699999999999998">
      <c r="D19" s="2202"/>
      <c r="E19" s="2198"/>
      <c r="F19" s="2198"/>
      <c r="G19" s="2205"/>
      <c r="H19" s="1600"/>
      <c r="I19" s="2201"/>
      <c r="J19" s="2172"/>
      <c r="K19" s="1583"/>
      <c r="L19" s="2157"/>
      <c r="M19" s="2157"/>
      <c r="N19" s="1590"/>
      <c r="O19" s="2157"/>
      <c r="P19" s="2172"/>
      <c r="Q19" s="1591"/>
      <c r="R19" s="2157"/>
      <c r="S19" s="2157"/>
      <c r="T19" s="1592"/>
      <c r="U19" s="2157"/>
      <c r="V19" s="2172"/>
      <c r="W19" s="1593"/>
      <c r="X19" s="2157"/>
      <c r="Y19" s="2157"/>
      <c r="Z19" s="1512"/>
      <c r="AA19" s="1595"/>
      <c r="AB19" s="2196"/>
      <c r="AC19" s="2196"/>
      <c r="AD19" s="2196"/>
      <c r="AE19" s="2196"/>
      <c r="AF19" s="2196"/>
      <c r="AG19" s="2196"/>
      <c r="AH19" s="2196"/>
      <c r="AI19" s="2197"/>
      <c r="AJ19" s="1574"/>
      <c r="BM19" s="293">
        <v>14</v>
      </c>
    </row>
    <row customHeight="1" ht="14.699999999999998">
      <c r="D20" s="2202"/>
      <c r="E20" s="2198"/>
      <c r="F20" s="2198"/>
      <c r="G20" s="2205"/>
      <c r="H20" s="1600"/>
      <c r="I20" s="2201"/>
      <c r="J20" s="2172"/>
      <c r="K20" s="1583"/>
      <c r="L20" s="2157"/>
      <c r="M20" s="2157"/>
      <c r="N20" s="1590"/>
      <c r="O20" s="2157"/>
      <c r="P20" s="2172"/>
      <c r="Q20" s="1591"/>
      <c r="R20" s="2157"/>
      <c r="S20" s="2157"/>
      <c r="T20" s="1596"/>
      <c r="U20" s="1597"/>
      <c r="V20" s="2196"/>
      <c r="W20" s="2196"/>
      <c r="X20" s="2196"/>
      <c r="Y20" s="2196"/>
      <c r="Z20" s="2196"/>
      <c r="AA20" s="2196"/>
      <c r="AB20" s="2196"/>
      <c r="AC20" s="2196"/>
      <c r="AD20" s="2196"/>
      <c r="AE20" s="2196"/>
      <c r="AF20" s="2196"/>
      <c r="AG20" s="2196"/>
      <c r="AH20" s="2196"/>
      <c r="AI20" s="2197"/>
      <c r="AJ20" s="1574"/>
      <c r="BM20" s="293">
        <v>14</v>
      </c>
    </row>
    <row customHeight="1" ht="11.549999999999999">
      <c r="D21" s="2202"/>
      <c r="E21" s="2198"/>
      <c r="F21" s="2198"/>
      <c r="G21" s="2205"/>
      <c r="H21" s="1601"/>
      <c r="I21" s="2201"/>
      <c r="J21" s="2172"/>
      <c r="K21" s="1583"/>
      <c r="L21" s="2157"/>
      <c r="M21" s="2157"/>
      <c r="N21" s="1595"/>
      <c r="O21" s="159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74"/>
      <c r="BM21" s="293">
        <v>11</v>
      </c>
    </row>
    <row s="1554" customFormat="1" customHeight="1" ht="11.549999999999999">
      <c r="D22" s="2208"/>
      <c r="E22" s="2209"/>
      <c r="F22" s="2199"/>
      <c r="G22" s="2131"/>
      <c r="H22" s="1598"/>
      <c r="I22" s="1602"/>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2" t="s">
        <v>91</v>
      </c>
      <c r="E23" s="2198" t="s">
        <v>298</v>
      </c>
      <c r="F23" s="2198" t="s">
        <v>301</v>
      </c>
      <c r="G23" s="2204" t="s">
        <v>19</v>
      </c>
      <c r="H23" s="1599"/>
      <c r="I23" s="2200"/>
      <c r="J23" s="2171"/>
      <c r="K23" s="1514"/>
      <c r="L23" s="2156"/>
      <c r="M23" s="2156"/>
      <c r="N23" s="1584"/>
      <c r="O23" s="2156"/>
      <c r="P23" s="2171"/>
      <c r="Q23" s="1585"/>
      <c r="R23" s="2156"/>
      <c r="S23" s="2156"/>
      <c r="T23" s="1586"/>
      <c r="U23" s="2156"/>
      <c r="V23" s="2171"/>
      <c r="W23" s="1587"/>
      <c r="X23" s="2156"/>
      <c r="Y23" s="2156"/>
      <c r="Z23" s="1584"/>
      <c r="AA23" s="2156"/>
      <c r="AB23" s="2171"/>
      <c r="AC23" s="1588"/>
      <c r="AD23" s="2156"/>
      <c r="AE23" s="2156"/>
      <c r="AF23" s="1513"/>
      <c r="AG23" s="1513"/>
      <c r="AH23" s="1589"/>
      <c r="AI23" s="1296"/>
      <c r="AJ23" s="1574"/>
      <c r="AK23" s="306" t="s">
        <v>99</v>
      </c>
      <c r="BM23" s="293">
        <v>14</v>
      </c>
    </row>
    <row customHeight="1" ht="14.699999999999998">
      <c r="D24" s="2202"/>
      <c r="E24" s="2198"/>
      <c r="F24" s="2198"/>
      <c r="G24" s="2205"/>
      <c r="H24" s="1600"/>
      <c r="I24" s="2201"/>
      <c r="J24" s="2172"/>
      <c r="K24" s="1610"/>
      <c r="L24" s="2157"/>
      <c r="M24" s="2157"/>
      <c r="N24" s="1590"/>
      <c r="O24" s="2157"/>
      <c r="P24" s="2172"/>
      <c r="Q24" s="1591"/>
      <c r="R24" s="2157"/>
      <c r="S24" s="2157"/>
      <c r="T24" s="1592"/>
      <c r="U24" s="2157"/>
      <c r="V24" s="2172"/>
      <c r="W24" s="1593"/>
      <c r="X24" s="2157"/>
      <c r="Y24" s="2157"/>
      <c r="Z24" s="1590"/>
      <c r="AA24" s="2157"/>
      <c r="AB24" s="2172"/>
      <c r="AC24" s="1594"/>
      <c r="AD24" s="2157"/>
      <c r="AE24" s="2157"/>
      <c r="AF24" s="1595"/>
      <c r="AG24" s="1595"/>
      <c r="AH24" s="2196"/>
      <c r="AI24" s="2197"/>
      <c r="AJ24" s="1574"/>
      <c r="BM24" s="293">
        <v>14</v>
      </c>
    </row>
    <row customHeight="1" ht="14.699999999999998">
      <c r="D25" s="2202"/>
      <c r="E25" s="2198"/>
      <c r="F25" s="2198"/>
      <c r="G25" s="2205"/>
      <c r="H25" s="1600"/>
      <c r="I25" s="2201"/>
      <c r="J25" s="2172"/>
      <c r="K25" s="1610"/>
      <c r="L25" s="2157"/>
      <c r="M25" s="2157"/>
      <c r="N25" s="1590"/>
      <c r="O25" s="2157"/>
      <c r="P25" s="2172"/>
      <c r="Q25" s="1591"/>
      <c r="R25" s="2157"/>
      <c r="S25" s="2157"/>
      <c r="T25" s="1592"/>
      <c r="U25" s="2157"/>
      <c r="V25" s="2172"/>
      <c r="W25" s="1593"/>
      <c r="X25" s="2157"/>
      <c r="Y25" s="2157"/>
      <c r="Z25" s="1512"/>
      <c r="AA25" s="1595"/>
      <c r="AB25" s="2196"/>
      <c r="AC25" s="2196"/>
      <c r="AD25" s="2196"/>
      <c r="AE25" s="2196"/>
      <c r="AF25" s="2196"/>
      <c r="AG25" s="2196"/>
      <c r="AH25" s="2196"/>
      <c r="AI25" s="2197"/>
      <c r="AJ25" s="1574"/>
      <c r="BM25" s="293">
        <v>14</v>
      </c>
    </row>
    <row customHeight="1" ht="14.699999999999998">
      <c r="D26" s="2202"/>
      <c r="E26" s="2198"/>
      <c r="F26" s="2198"/>
      <c r="G26" s="2205"/>
      <c r="H26" s="1600"/>
      <c r="I26" s="2201"/>
      <c r="J26" s="2172"/>
      <c r="K26" s="1610"/>
      <c r="L26" s="2157"/>
      <c r="M26" s="2157"/>
      <c r="N26" s="1590"/>
      <c r="O26" s="2157"/>
      <c r="P26" s="2172"/>
      <c r="Q26" s="1591"/>
      <c r="R26" s="2157"/>
      <c r="S26" s="2157"/>
      <c r="T26" s="1596"/>
      <c r="U26" s="1597"/>
      <c r="V26" s="2196"/>
      <c r="W26" s="2196"/>
      <c r="X26" s="2196"/>
      <c r="Y26" s="2196"/>
      <c r="Z26" s="2196"/>
      <c r="AA26" s="2196"/>
      <c r="AB26" s="2196"/>
      <c r="AC26" s="2196"/>
      <c r="AD26" s="2196"/>
      <c r="AE26" s="2196"/>
      <c r="AF26" s="2196"/>
      <c r="AG26" s="2196"/>
      <c r="AH26" s="2196"/>
      <c r="AI26" s="2197"/>
      <c r="AJ26" s="1574"/>
      <c r="BM26" s="293">
        <v>14</v>
      </c>
    </row>
    <row customHeight="1" ht="11.549999999999999">
      <c r="D27" s="2202"/>
      <c r="E27" s="2198"/>
      <c r="F27" s="2198"/>
      <c r="G27" s="2205"/>
      <c r="H27" s="1601"/>
      <c r="I27" s="2201"/>
      <c r="J27" s="2172"/>
      <c r="K27" s="1610"/>
      <c r="L27" s="2157"/>
      <c r="M27" s="2157"/>
      <c r="N27" s="1595"/>
      <c r="O27" s="159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74"/>
      <c r="BM27" s="293">
        <v>11</v>
      </c>
    </row>
    <row s="1554" customFormat="1" customHeight="1" ht="11.549999999999999">
      <c r="D28" s="2208"/>
      <c r="E28" s="2209"/>
      <c r="F28" s="2199"/>
      <c r="G28" s="2131"/>
      <c r="H28" s="1598"/>
      <c r="I28" s="1602"/>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2" t="s">
        <v>92</v>
      </c>
      <c r="E29" s="2198" t="s">
        <v>298</v>
      </c>
      <c r="F29" s="2198" t="s">
        <v>302</v>
      </c>
      <c r="G29" s="2204" t="s">
        <v>19</v>
      </c>
      <c r="H29" s="1599"/>
      <c r="I29" s="2200"/>
      <c r="J29" s="2171"/>
      <c r="K29" s="1514"/>
      <c r="L29" s="2156"/>
      <c r="M29" s="2156"/>
      <c r="N29" s="1584"/>
      <c r="O29" s="2156"/>
      <c r="P29" s="2171"/>
      <c r="Q29" s="1585"/>
      <c r="R29" s="2156"/>
      <c r="S29" s="2156"/>
      <c r="T29" s="1586"/>
      <c r="U29" s="2156"/>
      <c r="V29" s="2171"/>
      <c r="W29" s="1587"/>
      <c r="X29" s="2156"/>
      <c r="Y29" s="2156"/>
      <c r="Z29" s="1584"/>
      <c r="AA29" s="2156"/>
      <c r="AB29" s="2171"/>
      <c r="AC29" s="1588"/>
      <c r="AD29" s="2156"/>
      <c r="AE29" s="2156"/>
      <c r="AF29" s="1513"/>
      <c r="AG29" s="1513"/>
      <c r="AH29" s="1589"/>
      <c r="AI29" s="1296"/>
      <c r="AJ29" s="1574"/>
      <c r="BM29" s="293">
        <v>14</v>
      </c>
    </row>
    <row customHeight="1" ht="14.699999999999998">
      <c r="D30" s="2202"/>
      <c r="E30" s="2198"/>
      <c r="F30" s="2198"/>
      <c r="G30" s="2205"/>
      <c r="H30" s="1600"/>
      <c r="I30" s="2201"/>
      <c r="J30" s="2172"/>
      <c r="K30" s="1583"/>
      <c r="L30" s="2157"/>
      <c r="M30" s="2157"/>
      <c r="N30" s="1590"/>
      <c r="O30" s="2157"/>
      <c r="P30" s="2172"/>
      <c r="Q30" s="1591"/>
      <c r="R30" s="2157"/>
      <c r="S30" s="2157"/>
      <c r="T30" s="1592"/>
      <c r="U30" s="2157"/>
      <c r="V30" s="2172"/>
      <c r="W30" s="1593"/>
      <c r="X30" s="2157"/>
      <c r="Y30" s="2157"/>
      <c r="Z30" s="1590"/>
      <c r="AA30" s="2157"/>
      <c r="AB30" s="2172"/>
      <c r="AC30" s="1594"/>
      <c r="AD30" s="2157"/>
      <c r="AE30" s="2157"/>
      <c r="AF30" s="1595"/>
      <c r="AG30" s="1595"/>
      <c r="AH30" s="2196"/>
      <c r="AI30" s="2197"/>
      <c r="AJ30" s="1574"/>
      <c r="BM30" s="293">
        <v>14</v>
      </c>
    </row>
    <row customHeight="1" ht="14.699999999999998">
      <c r="D31" s="2202"/>
      <c r="E31" s="2198"/>
      <c r="F31" s="2198"/>
      <c r="G31" s="2205"/>
      <c r="H31" s="1600"/>
      <c r="I31" s="2201"/>
      <c r="J31" s="2172"/>
      <c r="K31" s="1583"/>
      <c r="L31" s="2157"/>
      <c r="M31" s="2157"/>
      <c r="N31" s="1590"/>
      <c r="O31" s="2157"/>
      <c r="P31" s="2172"/>
      <c r="Q31" s="1591"/>
      <c r="R31" s="2157"/>
      <c r="S31" s="2157"/>
      <c r="T31" s="1592"/>
      <c r="U31" s="2157"/>
      <c r="V31" s="2172"/>
      <c r="W31" s="1593"/>
      <c r="X31" s="2157"/>
      <c r="Y31" s="2157"/>
      <c r="Z31" s="1512"/>
      <c r="AA31" s="1595"/>
      <c r="AB31" s="2196"/>
      <c r="AC31" s="2196"/>
      <c r="AD31" s="2196"/>
      <c r="AE31" s="2196"/>
      <c r="AF31" s="2196"/>
      <c r="AG31" s="2196"/>
      <c r="AH31" s="2196"/>
      <c r="AI31" s="2197"/>
      <c r="AJ31" s="1574"/>
      <c r="BM31" s="293">
        <v>14</v>
      </c>
    </row>
    <row customHeight="1" ht="14.699999999999998">
      <c r="D32" s="2202"/>
      <c r="E32" s="2198"/>
      <c r="F32" s="2198"/>
      <c r="G32" s="2205"/>
      <c r="H32" s="1600"/>
      <c r="I32" s="2201"/>
      <c r="J32" s="2172"/>
      <c r="K32" s="1583"/>
      <c r="L32" s="2157"/>
      <c r="M32" s="2157"/>
      <c r="N32" s="1590"/>
      <c r="O32" s="2157"/>
      <c r="P32" s="2172"/>
      <c r="Q32" s="1591"/>
      <c r="R32" s="2157"/>
      <c r="S32" s="2157"/>
      <c r="T32" s="1596"/>
      <c r="U32" s="1597"/>
      <c r="V32" s="2196"/>
      <c r="W32" s="2196"/>
      <c r="X32" s="2196"/>
      <c r="Y32" s="2196"/>
      <c r="Z32" s="2196"/>
      <c r="AA32" s="2196"/>
      <c r="AB32" s="2196"/>
      <c r="AC32" s="2196"/>
      <c r="AD32" s="2196"/>
      <c r="AE32" s="2196"/>
      <c r="AF32" s="2196"/>
      <c r="AG32" s="2196"/>
      <c r="AH32" s="2196"/>
      <c r="AI32" s="2197"/>
      <c r="AJ32" s="1574"/>
      <c r="BM32" s="293">
        <v>14</v>
      </c>
    </row>
    <row customHeight="1" ht="11.549999999999999">
      <c r="D33" s="2202"/>
      <c r="E33" s="2198"/>
      <c r="F33" s="2198"/>
      <c r="G33" s="2205"/>
      <c r="H33" s="1601"/>
      <c r="I33" s="2201"/>
      <c r="J33" s="2172"/>
      <c r="K33" s="1583"/>
      <c r="L33" s="2157"/>
      <c r="M33" s="2157"/>
      <c r="N33" s="1595"/>
      <c r="O33" s="159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74"/>
      <c r="BM33" s="293">
        <v>11</v>
      </c>
    </row>
    <row s="1554" customFormat="1" customHeight="1" ht="11.549999999999999">
      <c r="D34" s="2208"/>
      <c r="E34" s="2209"/>
      <c r="F34" s="2199"/>
      <c r="G34" s="2131"/>
      <c r="H34" s="1598"/>
      <c r="I34" s="1602"/>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2" t="s">
        <v>100</v>
      </c>
      <c r="E35" s="2198" t="s">
        <v>298</v>
      </c>
      <c r="F35" s="2198" t="s">
        <v>303</v>
      </c>
      <c r="G35" s="2204" t="s">
        <v>19</v>
      </c>
      <c r="H35" s="1599"/>
      <c r="I35" s="2200"/>
      <c r="J35" s="2171"/>
      <c r="K35" s="1514"/>
      <c r="L35" s="2156"/>
      <c r="M35" s="2156"/>
      <c r="N35" s="1584"/>
      <c r="O35" s="2156"/>
      <c r="P35" s="2171"/>
      <c r="Q35" s="1585"/>
      <c r="R35" s="2156"/>
      <c r="S35" s="2156"/>
      <c r="T35" s="1586"/>
      <c r="U35" s="2156"/>
      <c r="V35" s="2171"/>
      <c r="W35" s="1587"/>
      <c r="X35" s="2156"/>
      <c r="Y35" s="2156"/>
      <c r="Z35" s="1584"/>
      <c r="AA35" s="2156"/>
      <c r="AB35" s="2171"/>
      <c r="AC35" s="1588"/>
      <c r="AD35" s="2156"/>
      <c r="AE35" s="2156"/>
      <c r="AF35" s="1513"/>
      <c r="AG35" s="1513"/>
      <c r="AH35" s="1589"/>
      <c r="AI35" s="1296"/>
      <c r="AJ35" s="1574"/>
      <c r="BM35" s="293">
        <v>14</v>
      </c>
    </row>
    <row customHeight="1" ht="14.699999999999998">
      <c r="D36" s="2202"/>
      <c r="E36" s="2198"/>
      <c r="F36" s="2198"/>
      <c r="G36" s="2205"/>
      <c r="H36" s="1600"/>
      <c r="I36" s="2201"/>
      <c r="J36" s="2172"/>
      <c r="K36" s="1583"/>
      <c r="L36" s="2157"/>
      <c r="M36" s="2157"/>
      <c r="N36" s="1590"/>
      <c r="O36" s="2157"/>
      <c r="P36" s="2172"/>
      <c r="Q36" s="1591"/>
      <c r="R36" s="2157"/>
      <c r="S36" s="2157"/>
      <c r="T36" s="1592"/>
      <c r="U36" s="2157"/>
      <c r="V36" s="2172"/>
      <c r="W36" s="1593"/>
      <c r="X36" s="2157"/>
      <c r="Y36" s="2157"/>
      <c r="Z36" s="1590"/>
      <c r="AA36" s="2157"/>
      <c r="AB36" s="2172"/>
      <c r="AC36" s="1594"/>
      <c r="AD36" s="2157"/>
      <c r="AE36" s="2157"/>
      <c r="AF36" s="1595"/>
      <c r="AG36" s="1595"/>
      <c r="AH36" s="2196"/>
      <c r="AI36" s="2197"/>
      <c r="AJ36" s="1574"/>
      <c r="BM36" s="293">
        <v>14</v>
      </c>
    </row>
    <row customHeight="1" ht="14.699999999999998">
      <c r="D37" s="2202"/>
      <c r="E37" s="2198"/>
      <c r="F37" s="2198"/>
      <c r="G37" s="2205"/>
      <c r="H37" s="1600"/>
      <c r="I37" s="2201"/>
      <c r="J37" s="2172"/>
      <c r="K37" s="1583"/>
      <c r="L37" s="2157"/>
      <c r="M37" s="2157"/>
      <c r="N37" s="1590"/>
      <c r="O37" s="2157"/>
      <c r="P37" s="2172"/>
      <c r="Q37" s="1591"/>
      <c r="R37" s="2157"/>
      <c r="S37" s="2157"/>
      <c r="T37" s="1592"/>
      <c r="U37" s="2157"/>
      <c r="V37" s="2172"/>
      <c r="W37" s="1593"/>
      <c r="X37" s="2157"/>
      <c r="Y37" s="2157"/>
      <c r="Z37" s="1512"/>
      <c r="AA37" s="1595"/>
      <c r="AB37" s="2196"/>
      <c r="AC37" s="2196"/>
      <c r="AD37" s="2196"/>
      <c r="AE37" s="2196"/>
      <c r="AF37" s="2196"/>
      <c r="AG37" s="2196"/>
      <c r="AH37" s="2196"/>
      <c r="AI37" s="2197"/>
      <c r="AJ37" s="1574"/>
      <c r="BM37" s="293">
        <v>14</v>
      </c>
    </row>
    <row customHeight="1" ht="14.699999999999998">
      <c r="D38" s="2202"/>
      <c r="E38" s="2198"/>
      <c r="F38" s="2198"/>
      <c r="G38" s="2205"/>
      <c r="H38" s="1600"/>
      <c r="I38" s="2201"/>
      <c r="J38" s="2172"/>
      <c r="K38" s="1583"/>
      <c r="L38" s="2157"/>
      <c r="M38" s="2157"/>
      <c r="N38" s="1590"/>
      <c r="O38" s="2157"/>
      <c r="P38" s="2172"/>
      <c r="Q38" s="1591"/>
      <c r="R38" s="2157"/>
      <c r="S38" s="2157"/>
      <c r="T38" s="1596"/>
      <c r="U38" s="1597"/>
      <c r="V38" s="2196"/>
      <c r="W38" s="2196"/>
      <c r="X38" s="2196"/>
      <c r="Y38" s="2196"/>
      <c r="Z38" s="2196"/>
      <c r="AA38" s="2196"/>
      <c r="AB38" s="2196"/>
      <c r="AC38" s="2196"/>
      <c r="AD38" s="2196"/>
      <c r="AE38" s="2196"/>
      <c r="AF38" s="2196"/>
      <c r="AG38" s="2196"/>
      <c r="AH38" s="2196"/>
      <c r="AI38" s="2197"/>
      <c r="AJ38" s="1574"/>
      <c r="BM38" s="293">
        <v>14</v>
      </c>
    </row>
    <row customHeight="1" ht="11.549999999999999">
      <c r="D39" s="2202"/>
      <c r="E39" s="2198"/>
      <c r="F39" s="2198"/>
      <c r="G39" s="2205"/>
      <c r="H39" s="1601"/>
      <c r="I39" s="2201"/>
      <c r="J39" s="2172"/>
      <c r="K39" s="1583"/>
      <c r="L39" s="2157"/>
      <c r="M39" s="2157"/>
      <c r="N39" s="1595"/>
      <c r="O39" s="159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74"/>
      <c r="BM39" s="293">
        <v>11</v>
      </c>
    </row>
    <row s="1554" customFormat="1" customHeight="1" ht="11.549999999999999">
      <c r="D40" s="2202"/>
      <c r="E40" s="2198"/>
      <c r="F40" s="2203"/>
      <c r="G40" s="2131"/>
      <c r="H40" s="1598"/>
      <c r="I40" s="1602"/>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C89D7-0C68-15F4-F01D-1FE1B4231E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1981</v>
      </c>
      <c r="C2" s="2519"/>
      <c r="D2" s="2519"/>
      <c r="E2" s="268"/>
      <c r="F2" s="89">
        <v>22</v>
      </c>
    </row>
    <row customHeight="1" ht="3">
      <c r="F3" s="89">
        <v>3</v>
      </c>
    </row>
    <row customHeight="1" ht="23.25">
      <c r="B4" s="2637" t="s">
        <v>1982</v>
      </c>
      <c r="C4" s="383" t="s">
        <v>1983</v>
      </c>
      <c r="D4" s="383" t="s">
        <v>1984</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F7D08-5F5F-3C6B-64AE-4243DAA7596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1985</v>
      </c>
    </row>
    <row r="4" s="264" customFormat="1" customHeight="1" ht="15">
      <c r="C4" s="1815"/>
      <c r="D4" s="113"/>
      <c r="E4" s="377"/>
    </row>
    <row r="6" s="1814" customFormat="1" customHeight="1" ht="17.25">
      <c r="A6" s="1814" t="s">
        <v>1986</v>
      </c>
    </row>
    <row r="8" s="264" customFormat="1" customHeight="1" ht="17.25">
      <c r="C8" s="1816"/>
      <c r="D8" s="113"/>
      <c r="E8" s="114"/>
    </row>
    <row r="11" s="1814" customFormat="1" customHeight="1" ht="17.25">
      <c r="A11" s="1814" t="s">
        <v>1987</v>
      </c>
    </row>
    <row r="13" s="1818" customFormat="1" customHeight="1" ht="15">
      <c r="A13" s="2236">
        <v>1</v>
      </c>
      <c r="B13" s="1160"/>
      <c r="C13" s="801" t="s">
        <v>121</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36"/>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36"/>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1988</v>
      </c>
    </row>
    <row r="19" s="1847" customFormat="1" customHeight="1" ht="15">
      <c r="A19" s="1879"/>
      <c r="B19" s="1366">
        <v>1</v>
      </c>
      <c r="C19" s="1366"/>
      <c r="D19" s="800" t="s">
        <v>121</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1989</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121</v>
      </c>
      <c r="D23" s="2127" t="s">
        <v>110</v>
      </c>
      <c r="E23" s="2128"/>
      <c r="F23" s="2126" t="s">
        <v>19</v>
      </c>
      <c r="G23" s="2576"/>
      <c r="H23" s="2146">
        <v>1</v>
      </c>
      <c r="I23" s="2578" t="str">
        <f>IF(U23="","",INDEX(TERRITORY_MR_LIST,MATCH(U23,TERRITORY_LIST_ID,0)))</f>
        <v/>
      </c>
      <c r="J23" s="2126" t="s">
        <v>19</v>
      </c>
      <c r="K23" s="832"/>
      <c r="L23" s="1781"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0" customFormat="1" customHeight="1" ht="15">
      <c r="A24" s="423"/>
      <c r="B24" s="423"/>
      <c r="C24" s="176"/>
      <c r="D24" s="2127"/>
      <c r="E24" s="2129"/>
      <c r="F24" s="2126"/>
      <c r="G24" s="2577"/>
      <c r="H24" s="2146"/>
      <c r="I24" s="2579"/>
      <c r="J24" s="2126"/>
      <c r="K24" s="421"/>
      <c r="L24" s="177"/>
      <c r="M24" s="607" t="s">
        <v>126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27"/>
      <c r="E25" s="2130"/>
      <c r="F25" s="2126"/>
      <c r="G25" s="421"/>
      <c r="H25" s="177"/>
      <c r="I25" s="580" t="s">
        <v>127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1990</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80" t="s">
        <v>121</v>
      </c>
      <c r="H29" s="2122">
        <v>1</v>
      </c>
      <c r="I29" s="2581" t="str">
        <f>IF(U29="","",INDEX(TERRITORY_MR_LIST,MATCH(U29,TERRITORY_LIST_ID,0)))</f>
        <v/>
      </c>
      <c r="J29" s="2126" t="s">
        <v>19</v>
      </c>
      <c r="K29" s="832"/>
      <c r="L29" s="1781"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80"/>
      <c r="H30" s="2122"/>
      <c r="I30" s="2581"/>
      <c r="J30" s="2126"/>
      <c r="K30" s="421"/>
      <c r="L30" s="177"/>
      <c r="M30" s="607" t="s">
        <v>126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1991</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121</v>
      </c>
      <c r="L34" s="1728"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1992</v>
      </c>
    </row>
    <row customHeight="1" ht="11.25"/>
    <row s="455" customFormat="1" customHeight="1" ht="22.5">
      <c r="A39" s="1790"/>
      <c r="B39" s="457"/>
      <c r="C39" s="859"/>
      <c r="D39" s="440"/>
      <c r="E39" s="860"/>
      <c r="F39" s="1811"/>
      <c r="G39" s="1821"/>
      <c r="H39" s="475"/>
    </row>
    <row customHeight="1" ht="11.25"/>
    <row s="1814" customFormat="1" customHeight="1" ht="11.25">
      <c r="A41" s="1814" t="s">
        <v>1993</v>
      </c>
    </row>
    <row customHeight="1" ht="11.25"/>
    <row s="455" customFormat="1" customHeight="1" ht="22.5">
      <c r="A43" s="457"/>
      <c r="B43" s="457"/>
      <c r="C43" s="457"/>
      <c r="D43" s="440"/>
      <c r="E43" s="860"/>
      <c r="F43" s="861"/>
      <c r="G43" s="1821"/>
      <c r="H43" s="475"/>
    </row>
    <row customHeight="1" ht="11.25"/>
    <row s="1814" customFormat="1" customHeight="1" ht="11.25">
      <c r="A45" s="1814" t="s">
        <v>1994</v>
      </c>
    </row>
    <row customHeight="1" ht="11.25"/>
    <row s="455" customFormat="1" customHeight="1" ht="24">
      <c r="A47" s="2221" t="s">
        <v>318</v>
      </c>
      <c r="B47" s="502"/>
      <c r="C47" s="2232"/>
      <c r="D47" s="445" t="str">
        <f>A47</f>
        <v>5.1</v>
      </c>
      <c r="E47" s="442" t="s">
        <v>319</v>
      </c>
      <c r="F47" s="1973" t="s">
        <v>311</v>
      </c>
      <c r="G47" s="444" t="s">
        <v>320</v>
      </c>
      <c r="H47" s="475"/>
      <c r="I47" s="852"/>
    </row>
    <row s="455" customFormat="1" customHeight="1" ht="22.5">
      <c r="A48" s="2221"/>
      <c r="B48" s="502"/>
      <c r="C48" s="2232"/>
      <c r="D48" s="440" t="str">
        <f>D47&amp;".1"</f>
        <v>5.1.1</v>
      </c>
      <c r="E48" s="439" t="s">
        <v>321</v>
      </c>
      <c r="F48" s="1974" t="s">
        <v>22</v>
      </c>
      <c r="G48" s="474"/>
      <c r="H48" s="475"/>
      <c r="I48" s="852"/>
    </row>
    <row s="455" customFormat="1" customHeight="1" ht="22.5">
      <c r="A49" s="2221"/>
      <c r="B49" s="502"/>
      <c r="C49" s="2232"/>
      <c r="D49" s="440" t="str">
        <f>D47&amp;".2"</f>
        <v>5.1.2</v>
      </c>
      <c r="E49" s="439" t="s">
        <v>322</v>
      </c>
      <c r="F49" s="1731" t="s">
        <v>22</v>
      </c>
      <c r="G49" s="444" t="s">
        <v>323</v>
      </c>
      <c r="H49" s="475"/>
      <c r="I49" s="852"/>
    </row>
    <row s="455" customFormat="1" customHeight="1" ht="22.5">
      <c r="A50" s="2221"/>
      <c r="B50" s="502"/>
      <c r="C50" s="2232"/>
      <c r="D50" s="440" t="str">
        <f>D47&amp;".3"</f>
        <v>5.1.3</v>
      </c>
      <c r="E50" s="439" t="s">
        <v>324</v>
      </c>
      <c r="F50" s="1974" t="s">
        <v>22</v>
      </c>
      <c r="G50" s="474"/>
      <c r="H50" s="475"/>
      <c r="I50" s="852"/>
    </row>
    <row s="455" customFormat="1" customHeight="1" ht="22.5">
      <c r="A51" s="2221"/>
      <c r="B51" s="502"/>
      <c r="C51" s="2232"/>
      <c r="D51" s="440" t="str">
        <f>D47&amp;".4"</f>
        <v>5.1.4</v>
      </c>
      <c r="E51" s="439" t="s">
        <v>325</v>
      </c>
      <c r="F51" s="1974" t="s">
        <v>22</v>
      </c>
      <c r="G51" s="444" t="s">
        <v>326</v>
      </c>
      <c r="H51" s="475"/>
      <c r="I51" s="852"/>
    </row>
    <row r="54" s="1814" customFormat="1" customHeight="1" ht="17.25">
      <c r="A54" s="1814" t="s">
        <v>1995</v>
      </c>
    </row>
    <row r="56" s="1612" customFormat="1" customHeight="1" ht="18.75">
      <c r="A56" s="89"/>
      <c r="B56" s="1822"/>
      <c r="C56" s="1822"/>
      <c r="D56" s="1823"/>
      <c r="E56" s="1808"/>
      <c r="F56" s="868">
        <v>13</v>
      </c>
      <c r="G56" s="867"/>
      <c r="H56" s="793"/>
      <c r="I56" s="791"/>
      <c r="J56" s="520" t="s">
        <v>66</v>
      </c>
      <c r="K56" s="1824" t="s">
        <v>22</v>
      </c>
      <c r="L56" s="89"/>
      <c r="M56" s="1636"/>
      <c r="N56" s="1636"/>
      <c r="O56" s="1636"/>
      <c r="P56" s="516" t="s">
        <v>397</v>
      </c>
      <c r="Q56" s="516" t="s">
        <v>398</v>
      </c>
      <c r="R56" s="517" t="s">
        <v>399</v>
      </c>
      <c r="S56" s="1636" t="s">
        <v>400</v>
      </c>
      <c r="T56" s="1636"/>
      <c r="U56" s="1636"/>
      <c r="V56" s="1636"/>
    </row>
    <row r="58" s="1814" customFormat="1" customHeight="1" ht="11.25">
      <c r="A58" s="1814" t="s">
        <v>1996</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386</v>
      </c>
      <c r="AQ60" s="1624" t="s">
        <v>386</v>
      </c>
      <c r="AR60" s="1636"/>
      <c r="AS60" s="1636"/>
    </row>
    <row r="62" s="1814" customFormat="1" customHeight="1" ht="11.25">
      <c r="A62" s="1814" t="s">
        <v>1997</v>
      </c>
    </row>
    <row r="64" s="1822" customFormat="1" customHeight="1" ht="15">
      <c r="A64" s="145" t="s">
        <v>91</v>
      </c>
      <c r="B64" s="125" t="s">
        <v>22</v>
      </c>
      <c r="C64" s="1825"/>
      <c r="D64" s="128"/>
      <c r="E64" s="381"/>
      <c r="F64" s="381"/>
      <c r="G64" s="1802"/>
      <c r="H64" s="1824"/>
      <c r="I64" s="1803"/>
      <c r="K64" s="272"/>
      <c r="L64" s="273"/>
    </row>
    <row r="66" s="1814" customFormat="1" customHeight="1" ht="11.25">
      <c r="A66" s="1814" t="s">
        <v>1998</v>
      </c>
    </row>
    <row r="68" s="1635" customFormat="1" customHeight="1" ht="14.25">
      <c r="A68" s="343"/>
      <c r="B68" s="1160"/>
      <c r="C68" s="376"/>
      <c r="D68" s="1809"/>
      <c r="E68" s="886"/>
      <c r="F68" s="1824"/>
      <c r="G68" s="89"/>
      <c r="I68" s="1624"/>
      <c r="J68" s="1624"/>
    </row>
    <row r="70" s="1814" customFormat="1" customHeight="1" ht="11.25">
      <c r="A70" s="1814" t="s">
        <v>1999</v>
      </c>
    </row>
    <row r="72" s="1635" customFormat="1" customHeight="1" ht="27">
      <c r="A72" s="1166"/>
      <c r="B72" s="1166"/>
      <c r="C72" s="1166"/>
      <c r="D72" s="1160"/>
      <c r="E72" s="1826"/>
      <c r="F72" s="2600"/>
      <c r="G72" s="2601"/>
      <c r="H72" s="2602" t="s">
        <v>66</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66</v>
      </c>
      <c r="Z72" s="1807"/>
      <c r="AA72" s="1791">
        <v>1</v>
      </c>
      <c r="AB72" s="1242"/>
      <c r="AD72" s="1636" t="s">
        <v>2000</v>
      </c>
    </row>
    <row s="1635" customFormat="1" customHeight="1" ht="10.5">
      <c r="A73" s="1166"/>
      <c r="B73" s="1166"/>
      <c r="C73" s="1166"/>
      <c r="D73" s="1160"/>
      <c r="E73" s="947"/>
      <c r="F73" s="2600"/>
      <c r="G73" s="2601"/>
      <c r="H73" s="2603"/>
      <c r="I73" s="2605"/>
      <c r="J73" s="2568"/>
      <c r="K73" s="2606"/>
      <c r="L73" s="2569"/>
      <c r="M73" s="2569"/>
      <c r="N73" s="2570"/>
      <c r="O73" s="2570"/>
      <c r="P73" s="2571"/>
      <c r="Q73" s="2566"/>
      <c r="R73" s="2566"/>
      <c r="S73" s="2566"/>
      <c r="T73" s="2568"/>
      <c r="U73" s="2566"/>
      <c r="V73" s="2566"/>
      <c r="W73" s="2566"/>
      <c r="X73" s="2568"/>
      <c r="Y73" s="2565"/>
      <c r="Z73" s="347"/>
      <c r="AA73" s="572"/>
      <c r="AB73" s="652" t="s">
        <v>1043</v>
      </c>
    </row>
    <row r="75" s="1814" customFormat="1" customHeight="1" ht="11.25">
      <c r="A75" s="1814" t="s">
        <v>2001</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2000</v>
      </c>
    </row>
    <row r="79" s="1814" customFormat="1" customHeight="1" ht="11.25">
      <c r="A79" s="1814" t="s">
        <v>2002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55"/>
      <c r="G82" s="2534"/>
      <c r="H82" s="2559" t="s">
        <v>381</v>
      </c>
      <c r="I82" s="2560"/>
      <c r="J82" s="2561"/>
      <c r="K82" s="2561"/>
      <c r="L82" s="2553"/>
      <c r="M82" s="2287"/>
      <c r="N82" s="2033"/>
      <c r="O82" s="2032"/>
      <c r="P82" s="2033"/>
      <c r="Q82" s="2033"/>
      <c r="R82" s="2033"/>
      <c r="S82" s="2033"/>
      <c r="T82" s="2033"/>
      <c r="U82" s="2033"/>
      <c r="V82" s="2033"/>
      <c r="W82" s="2033"/>
      <c r="X82" s="2033"/>
      <c r="Y82" s="2033"/>
      <c r="Z82" s="2033"/>
      <c r="AA82" s="2033"/>
      <c r="AB82" s="2033"/>
      <c r="AC82" s="2033"/>
      <c r="AD82" s="2033"/>
      <c r="AE82" s="2033"/>
      <c r="AF82" s="2557"/>
      <c r="AG82" s="2553"/>
      <c r="AH82" s="2553"/>
      <c r="AI82" s="2557"/>
      <c r="AJ82" s="2553"/>
      <c r="AK82" s="255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55"/>
      <c r="G83" s="2534"/>
      <c r="H83" s="2559"/>
      <c r="I83" s="2560"/>
      <c r="J83" s="2561"/>
      <c r="K83" s="2561"/>
      <c r="L83" s="2553"/>
      <c r="M83" s="2287"/>
      <c r="N83" s="2562"/>
      <c r="O83" s="2563"/>
      <c r="P83" s="2607"/>
      <c r="Q83" s="2558"/>
      <c r="R83" s="2558"/>
      <c r="S83" s="2558"/>
      <c r="T83" s="2558"/>
      <c r="U83" s="2558"/>
      <c r="V83" s="2558"/>
      <c r="W83" s="2558"/>
      <c r="X83" s="2558"/>
      <c r="Y83" s="2558"/>
      <c r="Z83" s="2034"/>
      <c r="AA83" s="2035"/>
      <c r="AB83" s="2035"/>
      <c r="AC83" s="2036"/>
      <c r="AD83" s="2036"/>
      <c r="AE83" s="2037"/>
      <c r="AF83" s="2557"/>
      <c r="AG83" s="2553"/>
      <c r="AH83" s="2553"/>
      <c r="AI83" s="2557"/>
      <c r="AJ83" s="2553"/>
      <c r="AK83" s="255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55"/>
      <c r="G84" s="2534"/>
      <c r="H84" s="2559"/>
      <c r="I84" s="2560"/>
      <c r="J84" s="2561"/>
      <c r="K84" s="2561"/>
      <c r="L84" s="2553"/>
      <c r="M84" s="2287"/>
      <c r="N84" s="2562"/>
      <c r="O84" s="2563"/>
      <c r="P84" s="2608"/>
      <c r="Q84" s="2558"/>
      <c r="R84" s="2558"/>
      <c r="S84" s="2558"/>
      <c r="T84" s="2558"/>
      <c r="U84" s="2558"/>
      <c r="V84" s="2558"/>
      <c r="W84" s="2558"/>
      <c r="X84" s="2558"/>
      <c r="Y84" s="2558"/>
      <c r="Z84" s="2038"/>
      <c r="AA84" s="2039"/>
      <c r="AB84" s="2040"/>
      <c r="AC84" s="2041"/>
      <c r="AD84" s="2040"/>
      <c r="AE84" s="2041"/>
      <c r="AF84" s="2557"/>
      <c r="AG84" s="2553"/>
      <c r="AH84" s="2553"/>
      <c r="AI84" s="2557"/>
      <c r="AJ84" s="2553"/>
      <c r="AK84" s="255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55"/>
      <c r="G85" s="2534"/>
      <c r="H85" s="2559"/>
      <c r="I85" s="2560"/>
      <c r="J85" s="2561"/>
      <c r="K85" s="2561"/>
      <c r="L85" s="2553"/>
      <c r="M85" s="2287"/>
      <c r="N85" s="2562"/>
      <c r="O85" s="2563"/>
      <c r="P85" s="2609"/>
      <c r="Q85" s="2558"/>
      <c r="R85" s="2558"/>
      <c r="S85" s="2558"/>
      <c r="T85" s="2558"/>
      <c r="U85" s="2558"/>
      <c r="V85" s="2558"/>
      <c r="W85" s="2558"/>
      <c r="X85" s="2558"/>
      <c r="Y85" s="2558"/>
      <c r="Z85" s="2034"/>
      <c r="AA85" s="2035"/>
      <c r="AB85" s="2042"/>
      <c r="AC85" s="2036"/>
      <c r="AD85" s="2036"/>
      <c r="AE85" s="2043"/>
      <c r="AF85" s="2557"/>
      <c r="AG85" s="2553"/>
      <c r="AH85" s="2553"/>
      <c r="AI85" s="2557"/>
      <c r="AJ85" s="2553"/>
      <c r="AK85" s="255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55"/>
      <c r="G86" s="2534"/>
      <c r="H86" s="2559"/>
      <c r="I86" s="2560"/>
      <c r="J86" s="2561"/>
      <c r="K86" s="2561"/>
      <c r="L86" s="2553"/>
      <c r="M86" s="2287"/>
      <c r="N86" s="2035"/>
      <c r="O86" s="2035"/>
      <c r="P86" s="2042"/>
      <c r="Q86" s="2035"/>
      <c r="R86" s="2035"/>
      <c r="S86" s="2035"/>
      <c r="T86" s="2035"/>
      <c r="U86" s="2035"/>
      <c r="V86" s="2035"/>
      <c r="W86" s="2035"/>
      <c r="X86" s="2035"/>
      <c r="Y86" s="2035"/>
      <c r="Z86" s="2035"/>
      <c r="AA86" s="2035"/>
      <c r="AB86" s="2035"/>
      <c r="AC86" s="2035"/>
      <c r="AD86" s="2035"/>
      <c r="AE86" s="2044"/>
      <c r="AF86" s="2557"/>
      <c r="AG86" s="2553"/>
      <c r="AH86" s="2553"/>
      <c r="AI86" s="2557"/>
      <c r="AJ86" s="2553"/>
      <c r="AK86" s="255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56"/>
      <c r="G87" s="1190"/>
      <c r="H87" s="1190"/>
      <c r="I87" s="2554" t="s">
        <v>1088</v>
      </c>
      <c r="J87" s="2554"/>
      <c r="K87" s="2554"/>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2003</v>
      </c>
    </row>
    <row r="91" s="1635" customFormat="1" customHeight="1" ht="11.25">
      <c r="A91" s="1166"/>
      <c r="B91" s="1166"/>
      <c r="C91" s="1166"/>
      <c r="D91" s="1160"/>
      <c r="E91" s="1170"/>
      <c r="F91" s="1828"/>
      <c r="G91" s="1829"/>
      <c r="H91" s="1829"/>
      <c r="I91" s="1763"/>
      <c r="J91" s="1763"/>
      <c r="K91" s="1830"/>
      <c r="L91" s="1763"/>
      <c r="M91" s="1829"/>
      <c r="N91" s="2527"/>
      <c r="O91" s="2610">
        <v>1</v>
      </c>
      <c r="P91" s="2529" t="s">
        <v>19</v>
      </c>
      <c r="Q91" s="2532" t="s">
        <v>22</v>
      </c>
      <c r="R91" s="2532" t="s">
        <v>22</v>
      </c>
      <c r="S91" s="2532" t="s">
        <v>22</v>
      </c>
      <c r="T91" s="2532" t="s">
        <v>22</v>
      </c>
      <c r="U91" s="2532" t="s">
        <v>22</v>
      </c>
      <c r="V91" s="2532" t="s">
        <v>22</v>
      </c>
      <c r="W91" s="2532" t="s">
        <v>22</v>
      </c>
      <c r="X91" s="2532" t="s">
        <v>22</v>
      </c>
      <c r="Y91" s="253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27"/>
      <c r="O92" s="2610"/>
      <c r="P92" s="2530"/>
      <c r="Q92" s="2532"/>
      <c r="R92" s="2532"/>
      <c r="S92" s="2533"/>
      <c r="T92" s="2532"/>
      <c r="U92" s="2532"/>
      <c r="V92" s="2532"/>
      <c r="W92" s="2532"/>
      <c r="X92" s="2532"/>
      <c r="Y92" s="253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27"/>
      <c r="O93" s="2610"/>
      <c r="P93" s="2531"/>
      <c r="Q93" s="2532"/>
      <c r="R93" s="2532"/>
      <c r="S93" s="2533"/>
      <c r="T93" s="2532"/>
      <c r="U93" s="2532"/>
      <c r="V93" s="2532"/>
      <c r="W93" s="2532"/>
      <c r="X93" s="2532"/>
      <c r="Y93" s="2532"/>
      <c r="Z93" s="1175"/>
      <c r="AA93" s="1176"/>
      <c r="AB93" s="1241" t="s">
        <v>1084</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2004</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2005</v>
      </c>
    </row>
    <row r="101" s="1635" customFormat="1" customHeight="1" ht="11.25">
      <c r="A101" s="1166"/>
      <c r="B101" s="1166"/>
      <c r="C101" s="1166"/>
      <c r="D101" s="1160"/>
      <c r="E101" s="1170"/>
      <c r="F101" s="1828"/>
      <c r="G101" s="1829"/>
      <c r="H101" s="2534" t="s">
        <v>110</v>
      </c>
      <c r="I101" s="2535"/>
      <c r="J101" s="2504"/>
      <c r="K101" s="2536"/>
      <c r="L101" s="2126" t="s">
        <v>19</v>
      </c>
      <c r="M101" s="2127"/>
      <c r="N101" s="1983"/>
      <c r="O101" s="1177" t="s">
        <v>381</v>
      </c>
      <c r="P101" s="1178"/>
      <c r="Q101" s="1178"/>
      <c r="R101" s="1178"/>
      <c r="S101" s="1178"/>
      <c r="T101" s="1178"/>
      <c r="U101" s="1178"/>
      <c r="V101" s="1178"/>
      <c r="W101" s="1178"/>
      <c r="X101" s="1178"/>
      <c r="Y101" s="1178"/>
      <c r="Z101" s="1178"/>
      <c r="AA101" s="1178"/>
      <c r="AB101" s="1178"/>
      <c r="AC101" s="1178"/>
      <c r="AD101" s="1178"/>
      <c r="AE101" s="1178"/>
      <c r="AF101" s="2525"/>
      <c r="AG101" s="2526"/>
      <c r="AH101" s="2526"/>
      <c r="AI101" s="2525"/>
      <c r="AJ101" s="2526"/>
      <c r="AK101" s="2526"/>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75"/>
      <c r="AA102" s="1176"/>
      <c r="AB102" s="1176"/>
      <c r="AC102" s="1180"/>
      <c r="AD102" s="1180"/>
      <c r="AE102" s="1181"/>
      <c r="AF102" s="2525"/>
      <c r="AG102" s="2526"/>
      <c r="AH102" s="2526"/>
      <c r="AI102" s="2525"/>
      <c r="AJ102" s="2526"/>
      <c r="AK102" s="2526"/>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34"/>
      <c r="I103" s="2535"/>
      <c r="J103" s="2504"/>
      <c r="K103" s="2536"/>
      <c r="L103" s="2126"/>
      <c r="M103" s="2127"/>
      <c r="N103" s="2527"/>
      <c r="O103" s="2528"/>
      <c r="P103" s="2530"/>
      <c r="Q103" s="2532"/>
      <c r="R103" s="2532"/>
      <c r="S103" s="2533"/>
      <c r="T103" s="2532"/>
      <c r="U103" s="2532"/>
      <c r="V103" s="2532"/>
      <c r="W103" s="2532"/>
      <c r="X103" s="2532"/>
      <c r="Y103" s="2532"/>
      <c r="Z103" s="1827"/>
      <c r="AA103" s="1793">
        <v>1</v>
      </c>
      <c r="AB103" s="1179"/>
      <c r="AC103" s="1169"/>
      <c r="AD103" s="1179">
        <f>AB103</f>
        <v>0</v>
      </c>
      <c r="AE103" s="1169"/>
      <c r="AF103" s="2525"/>
      <c r="AG103" s="2526"/>
      <c r="AH103" s="2526"/>
      <c r="AI103" s="2525"/>
      <c r="AJ103" s="2526"/>
      <c r="AK103" s="2526"/>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34"/>
      <c r="I104" s="2535"/>
      <c r="J104" s="2504"/>
      <c r="K104" s="2536"/>
      <c r="L104" s="2126"/>
      <c r="M104" s="2127"/>
      <c r="N104" s="2527"/>
      <c r="O104" s="2528"/>
      <c r="P104" s="2531"/>
      <c r="Q104" s="2532"/>
      <c r="R104" s="2532"/>
      <c r="S104" s="2533"/>
      <c r="T104" s="2532"/>
      <c r="U104" s="2532"/>
      <c r="V104" s="2532"/>
      <c r="W104" s="2532"/>
      <c r="X104" s="2532"/>
      <c r="Y104" s="2532"/>
      <c r="Z104" s="1175"/>
      <c r="AA104" s="1176"/>
      <c r="AB104" s="1241" t="s">
        <v>1084</v>
      </c>
      <c r="AC104" s="1180"/>
      <c r="AD104" s="1180"/>
      <c r="AE104" s="1182"/>
      <c r="AF104" s="2525"/>
      <c r="AG104" s="2526"/>
      <c r="AH104" s="2526"/>
      <c r="AI104" s="2525"/>
      <c r="AJ104" s="2526"/>
      <c r="AK104" s="2526"/>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34"/>
      <c r="I105" s="2535"/>
      <c r="J105" s="2504"/>
      <c r="K105" s="2536"/>
      <c r="L105" s="2126"/>
      <c r="M105" s="2127"/>
      <c r="N105" s="1175"/>
      <c r="O105" s="1176"/>
      <c r="P105" s="1168" t="s">
        <v>1085</v>
      </c>
      <c r="Q105" s="1176"/>
      <c r="R105" s="1176"/>
      <c r="S105" s="1176"/>
      <c r="T105" s="1176"/>
      <c r="U105" s="1176"/>
      <c r="V105" s="1176"/>
      <c r="W105" s="1176"/>
      <c r="X105" s="1176"/>
      <c r="Y105" s="1176"/>
      <c r="Z105" s="1176"/>
      <c r="AA105" s="1176"/>
      <c r="AB105" s="1176"/>
      <c r="AC105" s="1176"/>
      <c r="AD105" s="1176"/>
      <c r="AE105" s="1183"/>
      <c r="AF105" s="2525"/>
      <c r="AG105" s="2526"/>
      <c r="AH105" s="2526"/>
      <c r="AI105" s="2525"/>
      <c r="AJ105" s="2526"/>
      <c r="AK105" s="2526"/>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2006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1198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2007</v>
      </c>
    </row>
    <row r="115" s="1847" customFormat="1" customHeight="1" ht="15">
      <c r="A115" s="623"/>
      <c r="B115" s="624"/>
      <c r="C115" s="624"/>
      <c r="D115" s="2597" t="s">
        <v>110</v>
      </c>
      <c r="E115" s="2396" t="s">
        <v>106</v>
      </c>
      <c r="F115" s="2397"/>
      <c r="G115" s="2398"/>
      <c r="H115" s="2402" t="str">
        <f>IF(A115="","",INDEX(DIFFERENTIATION_UNMERGE_VD,MATCH(A115,DIFFERENTIATION_ID_DIFF,0)))</f>
        <v/>
      </c>
      <c r="I115" s="2402"/>
      <c r="J115" s="2402"/>
      <c r="K115" s="2402"/>
      <c r="L115" s="2402"/>
      <c r="M115" s="2402"/>
      <c r="N115" s="2402"/>
      <c r="O115" s="2402"/>
      <c r="P115" s="2402"/>
      <c r="Q115" s="2402"/>
      <c r="R115" s="2402"/>
      <c r="S115" s="719"/>
      <c r="T115" s="716"/>
      <c r="U115" s="625"/>
      <c r="V115" s="625"/>
      <c r="W115" s="626"/>
      <c r="X115" s="626"/>
      <c r="Y115" s="626"/>
      <c r="Z115" s="626"/>
      <c r="AA115" s="627"/>
      <c r="AB115" s="628"/>
      <c r="AC115" s="2394"/>
      <c r="AD115" s="629"/>
      <c r="AE115" s="630" t="s">
        <v>22</v>
      </c>
      <c r="AF115" s="630"/>
      <c r="AG115" s="631" t="s">
        <v>633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c r="A116" s="623"/>
      <c r="B116" s="624"/>
      <c r="C116" s="624"/>
      <c r="D116" s="2598"/>
      <c r="E116" s="2396" t="s">
        <v>567</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19"/>
      <c r="T116" s="716"/>
      <c r="U116" s="625"/>
      <c r="V116" s="625"/>
      <c r="W116" s="626"/>
      <c r="X116" s="626"/>
      <c r="Y116" s="626"/>
      <c r="Z116" s="626"/>
      <c r="AA116" s="627"/>
      <c r="AB116" s="628"/>
      <c r="AC116" s="239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c r="A117" s="623"/>
      <c r="B117" s="624"/>
      <c r="C117" s="624"/>
      <c r="D117" s="2598"/>
      <c r="E117" s="2396" t="s">
        <v>568</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19"/>
      <c r="T117" s="716"/>
      <c r="U117" s="625"/>
      <c r="V117" s="625"/>
      <c r="W117" s="626"/>
      <c r="X117" s="626"/>
      <c r="Y117" s="626"/>
      <c r="Z117" s="626"/>
      <c r="AA117" s="627"/>
      <c r="AB117" s="628"/>
      <c r="AC117" s="239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c r="A118" s="1805"/>
      <c r="B118" s="1160"/>
      <c r="C118" s="412"/>
      <c r="D118" s="2598"/>
      <c r="E118" s="2395" t="s">
        <v>634</v>
      </c>
      <c r="F118" s="2395"/>
      <c r="G118" s="2395"/>
      <c r="H118" s="2395"/>
      <c r="I118" s="2395"/>
      <c r="J118" s="2395"/>
      <c r="K118" s="2395"/>
      <c r="L118" s="2395"/>
      <c r="M118" s="2395"/>
      <c r="N118" s="2395"/>
      <c r="O118" s="2395"/>
      <c r="P118" s="2395"/>
      <c r="Q118" s="558">
        <f>SUMIF(T119:T120,"i",Q119:Q120)</f>
        <v>0</v>
      </c>
      <c r="R118" s="1017"/>
      <c r="S118" s="1797" t="s">
        <v>635</v>
      </c>
      <c r="T118" s="717" t="s">
        <v>636</v>
      </c>
      <c r="U118" s="2393">
        <v>1</v>
      </c>
      <c r="V118" s="2393">
        <f>INDEX(B_FHD_FLAG_INDEX_1,1,MATCH(A115,B_FHD_FLAG_DIFFERENTIATION,0))</f>
      </c>
      <c r="W118" s="1160"/>
      <c r="X118" s="1160"/>
      <c r="Y118" s="1160"/>
      <c r="Z118" s="1160"/>
      <c r="AA118" s="1636"/>
      <c r="AB118" s="1160"/>
      <c r="AC118" s="239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98"/>
      <c r="E119" s="635"/>
      <c r="F119" s="635">
        <v>0</v>
      </c>
      <c r="G119" s="635"/>
      <c r="H119" s="635"/>
      <c r="I119" s="635"/>
      <c r="J119" s="635"/>
      <c r="K119" s="635"/>
      <c r="L119" s="635"/>
      <c r="M119" s="635"/>
      <c r="N119" s="635"/>
      <c r="O119" s="635"/>
      <c r="P119" s="635"/>
      <c r="Q119" s="635"/>
      <c r="R119" s="635"/>
      <c r="S119" s="636"/>
      <c r="T119" s="718"/>
      <c r="U119" s="2393"/>
      <c r="V119" s="2393"/>
      <c r="W119" s="1636"/>
      <c r="X119" s="1636"/>
      <c r="Y119" s="1636"/>
      <c r="Z119" s="1636"/>
      <c r="AA119" s="1636"/>
      <c r="AB119" s="1160"/>
      <c r="AC119" s="239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c r="A120" s="1805"/>
      <c r="B120" s="1160"/>
      <c r="C120" s="412"/>
      <c r="D120" s="2598"/>
      <c r="E120" s="649" t="s">
        <v>22</v>
      </c>
      <c r="F120" s="1168" t="s">
        <v>22</v>
      </c>
      <c r="G120" s="1168" t="s">
        <v>639</v>
      </c>
      <c r="H120" s="651" t="s">
        <v>22</v>
      </c>
      <c r="I120" s="651"/>
      <c r="J120" s="651"/>
      <c r="K120" s="651"/>
      <c r="L120" s="651"/>
      <c r="M120" s="651"/>
      <c r="N120" s="651"/>
      <c r="O120" s="651"/>
      <c r="P120" s="651"/>
      <c r="Q120" s="651"/>
      <c r="R120" s="652"/>
      <c r="S120" s="653"/>
      <c r="T120" s="718"/>
      <c r="U120" s="2393"/>
      <c r="V120" s="2393"/>
      <c r="W120" s="1160"/>
      <c r="X120" s="1160"/>
      <c r="Y120" s="1160"/>
      <c r="Z120" s="1160"/>
      <c r="AA120" s="1636"/>
      <c r="AB120" s="1160"/>
      <c r="AC120" s="239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c r="A121" s="1805"/>
      <c r="B121" s="1160"/>
      <c r="C121" s="412"/>
      <c r="D121" s="2598"/>
      <c r="E121" s="2395" t="s">
        <v>637</v>
      </c>
      <c r="F121" s="2395"/>
      <c r="G121" s="2395"/>
      <c r="H121" s="2395"/>
      <c r="I121" s="2395"/>
      <c r="J121" s="2395"/>
      <c r="K121" s="2395"/>
      <c r="L121" s="2395"/>
      <c r="M121" s="2395"/>
      <c r="N121" s="2395"/>
      <c r="O121" s="2395"/>
      <c r="P121" s="2395"/>
      <c r="Q121" s="558">
        <f>SUMIF(T122:T123,"i",Q122:Q123)</f>
        <v>0</v>
      </c>
      <c r="R121" s="1017"/>
      <c r="S121" s="1797" t="s">
        <v>638</v>
      </c>
      <c r="T121" s="717" t="s">
        <v>636</v>
      </c>
      <c r="U121" s="2393">
        <v>1</v>
      </c>
      <c r="V121" s="239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98"/>
      <c r="E122" s="635"/>
      <c r="F122" s="635">
        <v>0</v>
      </c>
      <c r="G122" s="635"/>
      <c r="H122" s="635"/>
      <c r="I122" s="635"/>
      <c r="J122" s="635"/>
      <c r="K122" s="635"/>
      <c r="L122" s="635"/>
      <c r="M122" s="635"/>
      <c r="N122" s="635"/>
      <c r="O122" s="635"/>
      <c r="P122" s="635"/>
      <c r="Q122" s="635"/>
      <c r="R122" s="635"/>
      <c r="S122" s="636"/>
      <c r="T122" s="718"/>
      <c r="U122" s="2393"/>
      <c r="V122" s="239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c r="A123" s="1805"/>
      <c r="B123" s="1160"/>
      <c r="C123" s="412"/>
      <c r="D123" s="2599"/>
      <c r="E123" s="649" t="s">
        <v>22</v>
      </c>
      <c r="F123" s="1168" t="s">
        <v>22</v>
      </c>
      <c r="G123" s="1168" t="s">
        <v>639</v>
      </c>
      <c r="H123" s="651" t="s">
        <v>22</v>
      </c>
      <c r="I123" s="651"/>
      <c r="J123" s="651"/>
      <c r="K123" s="651"/>
      <c r="L123" s="651"/>
      <c r="M123" s="651"/>
      <c r="N123" s="651"/>
      <c r="O123" s="651"/>
      <c r="P123" s="651"/>
      <c r="Q123" s="651"/>
      <c r="R123" s="652"/>
      <c r="S123" s="653"/>
      <c r="T123" s="718"/>
      <c r="U123" s="2393"/>
      <c r="V123" s="239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2008</v>
      </c>
    </row>
    <row r="127" s="1847" customFormat="1" customHeight="1" ht="15" hidden="1">
      <c r="A127" s="623"/>
      <c r="B127" s="624"/>
      <c r="C127" s="624"/>
      <c r="D127" s="2597" t="s">
        <v>110</v>
      </c>
      <c r="E127" s="2396" t="s">
        <v>106</v>
      </c>
      <c r="F127" s="2397"/>
      <c r="G127" s="2398"/>
      <c r="H127" s="2402" t="str">
        <f>IF(A127="","",INDEX(DIFFERENTIATION_UNMERGE_VD,MATCH(A127,DIFFERENTIATION_ID_DIFF,0)))</f>
        <v/>
      </c>
      <c r="I127" s="2402"/>
      <c r="J127" s="2402"/>
      <c r="K127" s="2402"/>
      <c r="L127" s="2402"/>
      <c r="M127" s="2402"/>
      <c r="N127" s="2402"/>
      <c r="O127" s="2402"/>
      <c r="P127" s="2402"/>
      <c r="Q127" s="2402"/>
      <c r="R127" s="2402"/>
      <c r="S127" s="719"/>
      <c r="T127" s="716"/>
      <c r="U127" s="625"/>
      <c r="V127" s="625"/>
      <c r="W127" s="626"/>
      <c r="X127" s="626"/>
      <c r="Y127" s="626"/>
      <c r="Z127" s="626"/>
      <c r="AA127" s="627"/>
      <c r="AB127" s="628"/>
      <c r="AC127" s="2394"/>
      <c r="AD127" s="629"/>
      <c r="AE127" s="630" t="s">
        <v>22</v>
      </c>
      <c r="AF127" s="630"/>
      <c r="AG127" s="631" t="s">
        <v>633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hidden="1">
      <c r="A128" s="623"/>
      <c r="B128" s="624"/>
      <c r="C128" s="624"/>
      <c r="D128" s="2598"/>
      <c r="E128" s="2396" t="s">
        <v>567</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19"/>
      <c r="T128" s="716"/>
      <c r="U128" s="625"/>
      <c r="V128" s="625"/>
      <c r="W128" s="626"/>
      <c r="X128" s="626"/>
      <c r="Y128" s="626"/>
      <c r="Z128" s="626"/>
      <c r="AA128" s="627"/>
      <c r="AB128" s="628"/>
      <c r="AC128" s="239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hidden="1">
      <c r="A129" s="623"/>
      <c r="B129" s="624"/>
      <c r="C129" s="624"/>
      <c r="D129" s="2598"/>
      <c r="E129" s="2396" t="s">
        <v>568</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19"/>
      <c r="T129" s="716"/>
      <c r="U129" s="625"/>
      <c r="V129" s="625"/>
      <c r="W129" s="626"/>
      <c r="X129" s="626"/>
      <c r="Y129" s="626"/>
      <c r="Z129" s="626"/>
      <c r="AA129" s="627"/>
      <c r="AB129" s="628"/>
      <c r="AC129" s="239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hidden="1">
      <c r="A130" s="1805"/>
      <c r="B130" s="1160"/>
      <c r="C130" s="412"/>
      <c r="D130" s="2598"/>
      <c r="E130" s="2395" t="s">
        <v>634</v>
      </c>
      <c r="F130" s="2395"/>
      <c r="G130" s="2395"/>
      <c r="H130" s="2395"/>
      <c r="I130" s="2395"/>
      <c r="J130" s="2395"/>
      <c r="K130" s="2395"/>
      <c r="L130" s="2395"/>
      <c r="M130" s="2395"/>
      <c r="N130" s="2395"/>
      <c r="O130" s="2395"/>
      <c r="P130" s="2395"/>
      <c r="Q130" s="558">
        <f>SUMIF(T131:T132,"i",Q131:Q132)</f>
        <v>0</v>
      </c>
      <c r="R130" s="1017"/>
      <c r="S130" s="1797" t="s">
        <v>635</v>
      </c>
      <c r="T130" s="717" t="s">
        <v>636</v>
      </c>
      <c r="U130" s="2393">
        <v>1</v>
      </c>
      <c r="V130" s="2393">
        <f>INDEX(B_FHD_FLAG_INDEX_1,1,MATCH(A127,B_FHD_FLAG_DIFFERENTIATION,0))</f>
      </c>
      <c r="W130" s="1160"/>
      <c r="X130" s="1160"/>
      <c r="Y130" s="1160"/>
      <c r="Z130" s="1160"/>
      <c r="AA130" s="1636"/>
      <c r="AB130" s="1160"/>
      <c r="AC130" s="239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98"/>
      <c r="E131" s="635"/>
      <c r="F131" s="635">
        <v>0</v>
      </c>
      <c r="G131" s="635"/>
      <c r="H131" s="635"/>
      <c r="I131" s="635"/>
      <c r="J131" s="635"/>
      <c r="K131" s="635"/>
      <c r="L131" s="635"/>
      <c r="M131" s="635"/>
      <c r="N131" s="635"/>
      <c r="O131" s="635"/>
      <c r="P131" s="635"/>
      <c r="Q131" s="635"/>
      <c r="R131" s="635"/>
      <c r="S131" s="636"/>
      <c r="T131" s="718"/>
      <c r="U131" s="2393"/>
      <c r="V131" s="2393"/>
      <c r="W131" s="1636"/>
      <c r="X131" s="1636"/>
      <c r="Y131" s="1636"/>
      <c r="Z131" s="1636"/>
      <c r="AA131" s="1636"/>
      <c r="AB131" s="1160"/>
      <c r="AC131" s="239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hidden="1">
      <c r="A132" s="1805"/>
      <c r="B132" s="1160"/>
      <c r="C132" s="412"/>
      <c r="D132" s="2598"/>
      <c r="E132" s="649" t="s">
        <v>22</v>
      </c>
      <c r="F132" s="1168" t="s">
        <v>22</v>
      </c>
      <c r="G132" s="1168" t="s">
        <v>639</v>
      </c>
      <c r="H132" s="651" t="s">
        <v>22</v>
      </c>
      <c r="I132" s="651"/>
      <c r="J132" s="651"/>
      <c r="K132" s="651"/>
      <c r="L132" s="651"/>
      <c r="M132" s="651"/>
      <c r="N132" s="651"/>
      <c r="O132" s="651"/>
      <c r="P132" s="651"/>
      <c r="Q132" s="651"/>
      <c r="R132" s="652"/>
      <c r="S132" s="653"/>
      <c r="T132" s="718"/>
      <c r="U132" s="2393"/>
      <c r="V132" s="2393"/>
      <c r="W132" s="1160"/>
      <c r="X132" s="1160"/>
      <c r="Y132" s="1160"/>
      <c r="Z132" s="1160"/>
      <c r="AA132" s="1636"/>
      <c r="AB132" s="1160"/>
      <c r="AC132" s="239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98"/>
      <c r="E133" s="1039"/>
      <c r="F133" s="1039"/>
      <c r="G133" s="1039"/>
      <c r="H133" s="1039"/>
      <c r="I133" s="1039"/>
      <c r="J133" s="1039"/>
      <c r="K133" s="1039"/>
      <c r="L133" s="1039"/>
      <c r="M133" s="1039"/>
      <c r="N133" s="1039"/>
      <c r="O133" s="1039"/>
      <c r="P133" s="1039"/>
      <c r="Q133" s="1040"/>
      <c r="R133" s="1041"/>
      <c r="S133" s="1042"/>
      <c r="T133" s="717" t="s">
        <v>636</v>
      </c>
      <c r="U133" s="2393">
        <v>1</v>
      </c>
      <c r="V133" s="2393" t="s">
        <v>584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98"/>
      <c r="E134" s="635"/>
      <c r="F134" s="635"/>
      <c r="G134" s="635"/>
      <c r="H134" s="635"/>
      <c r="I134" s="635"/>
      <c r="J134" s="635"/>
      <c r="K134" s="635"/>
      <c r="L134" s="635"/>
      <c r="M134" s="635"/>
      <c r="N134" s="635"/>
      <c r="O134" s="635"/>
      <c r="P134" s="635"/>
      <c r="Q134" s="635"/>
      <c r="R134" s="635"/>
      <c r="S134" s="636"/>
      <c r="T134" s="718"/>
      <c r="U134" s="2393"/>
      <c r="V134" s="239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99"/>
      <c r="E135" s="1043"/>
      <c r="F135" s="1044"/>
      <c r="G135" s="1044"/>
      <c r="H135" s="1045"/>
      <c r="I135" s="1045"/>
      <c r="J135" s="1045"/>
      <c r="K135" s="1045"/>
      <c r="L135" s="1045"/>
      <c r="M135" s="1045"/>
      <c r="N135" s="1045"/>
      <c r="O135" s="1045"/>
      <c r="P135" s="1045"/>
      <c r="Q135" s="1045"/>
      <c r="R135" s="946"/>
      <c r="S135" s="1046"/>
      <c r="T135" s="718"/>
      <c r="U135" s="2393"/>
      <c r="V135" s="239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2009</v>
      </c>
    </row>
    <row r="139" s="1847" customFormat="1" customHeight="1" ht="45">
      <c r="A139" s="1805"/>
      <c r="B139" s="1160"/>
      <c r="C139" s="412"/>
      <c r="D139" s="89"/>
      <c r="E139" s="2591"/>
      <c r="F139" s="2127" t="s">
        <v>110</v>
      </c>
      <c r="G139" s="2594" t="s">
        <v>22</v>
      </c>
      <c r="H139" s="289"/>
      <c r="I139" s="637" t="s">
        <v>110</v>
      </c>
      <c r="J139" s="1806" t="s">
        <v>2010</v>
      </c>
      <c r="K139" s="638" t="s">
        <v>549</v>
      </c>
      <c r="L139" s="2243" t="s">
        <v>549</v>
      </c>
      <c r="M139" s="2596"/>
      <c r="N139" s="638" t="s">
        <v>549</v>
      </c>
      <c r="O139" s="638" t="s">
        <v>549</v>
      </c>
      <c r="P139" s="638" t="s">
        <v>549</v>
      </c>
      <c r="Q139" s="639">
        <f>SUM(Q140:Q142)</f>
        <v>0</v>
      </c>
      <c r="R139" s="639">
        <f>IF(R136=0,0,(Q136/R136)*100)</f>
        <v>0</v>
      </c>
      <c r="S139" s="2198"/>
      <c r="T139" s="717" t="s">
        <v>636</v>
      </c>
      <c r="U139" s="89"/>
      <c r="V139" s="89"/>
      <c r="AC139" s="89"/>
    </row>
    <row s="1847" customFormat="1" customHeight="1" ht="11.25">
      <c r="A140" s="1805"/>
      <c r="B140" s="1160"/>
      <c r="C140" s="412"/>
      <c r="D140" s="89"/>
      <c r="E140" s="2592"/>
      <c r="F140" s="2127"/>
      <c r="G140" s="2594"/>
      <c r="H140" s="2146"/>
      <c r="I140" s="2534" t="s">
        <v>1103</v>
      </c>
      <c r="J140" s="2588"/>
      <c r="K140" s="2589"/>
      <c r="L140" s="640"/>
      <c r="M140" s="641" t="s">
        <v>110</v>
      </c>
      <c r="N140" s="1794"/>
      <c r="O140" s="642"/>
      <c r="P140" s="643"/>
      <c r="Q140" s="642"/>
      <c r="R140" s="644">
        <v>0</v>
      </c>
      <c r="S140" s="2198"/>
      <c r="T140" s="717"/>
      <c r="U140" s="89"/>
      <c r="V140" s="89"/>
      <c r="AC140" s="89"/>
    </row>
    <row s="1847" customFormat="1" customHeight="1" ht="11.25">
      <c r="A141" s="1805"/>
      <c r="B141" s="1160"/>
      <c r="C141" s="412"/>
      <c r="D141" s="89"/>
      <c r="E141" s="2592"/>
      <c r="F141" s="2127"/>
      <c r="G141" s="2594"/>
      <c r="H141" s="2146"/>
      <c r="I141" s="2534"/>
      <c r="J141" s="2588"/>
      <c r="K141" s="2590"/>
      <c r="L141" s="645"/>
      <c r="M141" s="646"/>
      <c r="N141" s="647" t="s">
        <v>2011</v>
      </c>
      <c r="O141" s="647"/>
      <c r="P141" s="647"/>
      <c r="Q141" s="647"/>
      <c r="R141" s="648"/>
      <c r="S141" s="2198"/>
      <c r="T141" s="717"/>
      <c r="U141" s="89"/>
      <c r="V141" s="89"/>
      <c r="AC141" s="89"/>
    </row>
    <row s="1847" customFormat="1" customHeight="1" ht="11.25">
      <c r="A142" s="1805"/>
      <c r="B142" s="1160"/>
      <c r="C142" s="412"/>
      <c r="D142" s="89"/>
      <c r="E142" s="2593"/>
      <c r="F142" s="2127"/>
      <c r="G142" s="2595"/>
      <c r="H142" s="645" t="s">
        <v>22</v>
      </c>
      <c r="I142" s="646"/>
      <c r="J142" s="647" t="s">
        <v>2012</v>
      </c>
      <c r="K142" s="647"/>
      <c r="L142" s="647"/>
      <c r="M142" s="647"/>
      <c r="N142" s="647"/>
      <c r="O142" s="647"/>
      <c r="P142" s="647"/>
      <c r="Q142" s="647"/>
      <c r="R142" s="648"/>
      <c r="S142" s="2198"/>
      <c r="T142" s="717"/>
      <c r="U142" s="89"/>
      <c r="V142" s="89"/>
      <c r="AC142" s="89"/>
    </row>
    <row r="147" s="1847" customFormat="1" customHeight="1" ht="11.25">
      <c r="A147" s="1805"/>
      <c r="B147" s="1160"/>
      <c r="C147" s="412"/>
      <c r="D147" s="89"/>
      <c r="E147" s="1829"/>
      <c r="F147" s="1829"/>
      <c r="G147" s="1829"/>
      <c r="H147" s="2146"/>
      <c r="I147" s="2534" t="s">
        <v>1103</v>
      </c>
      <c r="J147" s="2588"/>
      <c r="K147" s="2589"/>
      <c r="L147" s="640"/>
      <c r="M147" s="641" t="s">
        <v>110</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46"/>
      <c r="I148" s="2534"/>
      <c r="J148" s="2588"/>
      <c r="K148" s="2590"/>
      <c r="L148" s="645"/>
      <c r="M148" s="646"/>
      <c r="N148" s="647" t="s">
        <v>2011</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110</v>
      </c>
      <c r="N150" s="1794"/>
      <c r="O150" s="642"/>
      <c r="P150" s="643"/>
      <c r="Q150" s="642"/>
      <c r="R150" s="644">
        <v>0</v>
      </c>
      <c r="S150" s="89"/>
      <c r="T150" s="717"/>
      <c r="U150" s="89"/>
      <c r="V150" s="89"/>
      <c r="AC150" s="89"/>
    </row>
    <row r="152" s="1814" customFormat="1" customHeight="1" ht="17.25">
      <c r="A152" s="1814" t="s">
        <v>2013</v>
      </c>
    </row>
    <row customHeight="1" ht="17.25">
      <c r="G153" s="1836"/>
      <c r="H153" s="1836"/>
      <c r="I153" s="1836"/>
      <c r="M153" s="1832"/>
    </row>
    <row s="1850" customFormat="1" customHeight="1" ht="17.25">
      <c r="A154" s="1837"/>
      <c r="C154" s="1839"/>
      <c r="D154" s="2548"/>
      <c r="E154" s="2162"/>
      <c r="F154" s="2164"/>
      <c r="G154" s="2550"/>
      <c r="H154" s="2548"/>
      <c r="I154" s="2548">
        <v>1</v>
      </c>
      <c r="J154" s="2520"/>
      <c r="K154" s="2204" t="s">
        <v>66</v>
      </c>
      <c r="L154" s="2127"/>
      <c r="M154" s="2127" t="s">
        <v>110</v>
      </c>
      <c r="N154" s="2523" t="str">
        <f>IF(Z154="","",INDEX(TERRITORY_MR_LIST,MATCH(Z154,TERRITORY_LIST_ID,0)))</f>
        <v/>
      </c>
      <c r="O154" s="2204" t="s">
        <v>66</v>
      </c>
      <c r="P154" s="2127"/>
      <c r="Q154" s="2127" t="s">
        <v>110</v>
      </c>
      <c r="R154" s="2521" t="s">
        <v>22</v>
      </c>
      <c r="S154" s="2126" t="s">
        <v>66</v>
      </c>
      <c r="T154" s="1810"/>
      <c r="U154" s="1810" t="s">
        <v>110</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8"/>
      <c r="E155" s="2162"/>
      <c r="F155" s="2165"/>
      <c r="G155" s="2550"/>
      <c r="H155" s="2548"/>
      <c r="I155" s="2548"/>
      <c r="J155" s="2520"/>
      <c r="K155" s="2205"/>
      <c r="L155" s="2127"/>
      <c r="M155" s="2127"/>
      <c r="N155" s="2523"/>
      <c r="O155" s="2205"/>
      <c r="P155" s="2127"/>
      <c r="Q155" s="2127"/>
      <c r="R155" s="2521"/>
      <c r="S155" s="2126"/>
      <c r="T155" s="317"/>
      <c r="U155" s="318"/>
      <c r="V155" s="318" t="s">
        <v>419</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22"/>
      <c r="E156" s="2549"/>
      <c r="F156" s="2165"/>
      <c r="G156" s="2551"/>
      <c r="H156" s="2522"/>
      <c r="I156" s="2522"/>
      <c r="J156" s="2552"/>
      <c r="K156" s="2205"/>
      <c r="L156" s="2522"/>
      <c r="M156" s="2522"/>
      <c r="N156" s="2524"/>
      <c r="O156" s="2131"/>
      <c r="P156" s="317"/>
      <c r="Q156" s="318"/>
      <c r="R156" s="318" t="s">
        <v>420</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22"/>
      <c r="E157" s="2549"/>
      <c r="F157" s="2165"/>
      <c r="G157" s="2551"/>
      <c r="H157" s="2522"/>
      <c r="I157" s="2522"/>
      <c r="J157" s="2552"/>
      <c r="K157" s="2131"/>
      <c r="L157" s="317"/>
      <c r="M157" s="318"/>
      <c r="N157" s="318" t="s">
        <v>421</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22"/>
      <c r="E158" s="2549"/>
      <c r="F158" s="2166"/>
      <c r="G158" s="2551"/>
      <c r="H158" s="317"/>
      <c r="I158" s="318"/>
      <c r="J158" s="318" t="s">
        <v>449</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8"/>
      <c r="I160" s="2548">
        <v>1</v>
      </c>
      <c r="J160" s="2520"/>
      <c r="K160" s="2204" t="s">
        <v>66</v>
      </c>
      <c r="L160" s="2127"/>
      <c r="M160" s="2127" t="s">
        <v>110</v>
      </c>
      <c r="N160" s="2523" t="str">
        <f>IF(Z160="","",INDEX(TERRITORY_MR_LIST,MATCH(Z160,TERRITORY_LIST_ID,0)))</f>
        <v/>
      </c>
      <c r="O160" s="2204" t="s">
        <v>66</v>
      </c>
      <c r="P160" s="2127"/>
      <c r="Q160" s="2127" t="s">
        <v>110</v>
      </c>
      <c r="R160" s="2521" t="s">
        <v>22</v>
      </c>
      <c r="S160" s="2126" t="s">
        <v>66</v>
      </c>
      <c r="T160" s="1810"/>
      <c r="U160" s="1810" t="s">
        <v>110</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8"/>
      <c r="I161" s="2548"/>
      <c r="J161" s="2520"/>
      <c r="K161" s="2205"/>
      <c r="L161" s="2127"/>
      <c r="M161" s="2127"/>
      <c r="N161" s="2523"/>
      <c r="O161" s="2205"/>
      <c r="P161" s="2127"/>
      <c r="Q161" s="2127"/>
      <c r="R161" s="2521"/>
      <c r="S161" s="2126"/>
      <c r="T161" s="317"/>
      <c r="U161" s="318"/>
      <c r="V161" s="318" t="s">
        <v>419</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22"/>
      <c r="I162" s="2522"/>
      <c r="J162" s="2552"/>
      <c r="K162" s="2205"/>
      <c r="L162" s="2522"/>
      <c r="M162" s="2522"/>
      <c r="N162" s="2524"/>
      <c r="O162" s="2131"/>
      <c r="P162" s="317"/>
      <c r="Q162" s="318"/>
      <c r="R162" s="318" t="s">
        <v>420</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22"/>
      <c r="I163" s="2522"/>
      <c r="J163" s="2552"/>
      <c r="K163" s="2131"/>
      <c r="L163" s="317"/>
      <c r="M163" s="318"/>
      <c r="N163" s="318" t="s">
        <v>421</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27"/>
      <c r="M165" s="2127" t="s">
        <v>110</v>
      </c>
      <c r="N165" s="2523" t="str">
        <f>IF(Z165="","",INDEX(TERRITORY_MR_LIST,MATCH(Z165,TERRITORY_LIST_ID,0)))</f>
        <v/>
      </c>
      <c r="O165" s="2204" t="s">
        <v>66</v>
      </c>
      <c r="P165" s="2127"/>
      <c r="Q165" s="2127" t="s">
        <v>110</v>
      </c>
      <c r="R165" s="2521" t="s">
        <v>22</v>
      </c>
      <c r="S165" s="2126" t="s">
        <v>66</v>
      </c>
      <c r="T165" s="1810"/>
      <c r="U165" s="1810" t="s">
        <v>110</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27"/>
      <c r="M166" s="2127"/>
      <c r="N166" s="2523"/>
      <c r="O166" s="2205"/>
      <c r="P166" s="2127"/>
      <c r="Q166" s="2127"/>
      <c r="R166" s="2521"/>
      <c r="S166" s="2126"/>
      <c r="T166" s="317"/>
      <c r="U166" s="318"/>
      <c r="V166" s="318" t="s">
        <v>419</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22"/>
      <c r="M167" s="2522"/>
      <c r="N167" s="2524"/>
      <c r="O167" s="2131"/>
      <c r="P167" s="317"/>
      <c r="Q167" s="318"/>
      <c r="R167" s="318" t="s">
        <v>420</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27"/>
      <c r="Q169" s="2127" t="s">
        <v>110</v>
      </c>
      <c r="R169" s="2521" t="s">
        <v>22</v>
      </c>
      <c r="S169" s="2126" t="s">
        <v>66</v>
      </c>
      <c r="T169" s="1810"/>
      <c r="U169" s="1810" t="s">
        <v>110</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27"/>
      <c r="Q170" s="2127"/>
      <c r="R170" s="2521"/>
      <c r="S170" s="2126"/>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110</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2014</v>
      </c>
    </row>
    <row customHeight="1" ht="17.25">
      <c r="G175" s="1836"/>
      <c r="H175" s="1836"/>
      <c r="I175" s="1836"/>
      <c r="M175" s="1832"/>
    </row>
    <row s="1850" customFormat="1" customHeight="1" ht="17.25">
      <c r="A176" s="1837"/>
      <c r="C176" s="1839"/>
      <c r="D176" s="2548"/>
      <c r="E176" s="2162"/>
      <c r="F176" s="2164"/>
      <c r="G176" s="2550"/>
      <c r="H176" s="2548"/>
      <c r="I176" s="2548">
        <v>1</v>
      </c>
      <c r="J176" s="2520"/>
      <c r="K176" s="2204" t="s">
        <v>66</v>
      </c>
      <c r="L176" s="2127"/>
      <c r="M176" s="2127" t="s">
        <v>110</v>
      </c>
      <c r="N176" s="2523" t="str">
        <f>IF(Z176="","",INDEX(TERRITORY_MR_LIST,MATCH(Z176,TERRITORY_LIST_ID,0)))</f>
        <v/>
      </c>
      <c r="O176" s="2204" t="s">
        <v>66</v>
      </c>
      <c r="P176" s="2127"/>
      <c r="Q176" s="2127" t="s">
        <v>110</v>
      </c>
      <c r="R176" s="2521" t="s">
        <v>22</v>
      </c>
      <c r="S176" s="2425" t="s">
        <v>19</v>
      </c>
      <c r="T176" s="1801"/>
      <c r="U176" s="1801" t="s">
        <v>110</v>
      </c>
      <c r="V176" s="1434"/>
      <c r="W176" s="252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8"/>
      <c r="E177" s="2162"/>
      <c r="F177" s="2165"/>
      <c r="G177" s="2550"/>
      <c r="H177" s="2548"/>
      <c r="I177" s="2548"/>
      <c r="J177" s="2520"/>
      <c r="K177" s="2205"/>
      <c r="L177" s="2127"/>
      <c r="M177" s="2127"/>
      <c r="N177" s="2523"/>
      <c r="O177" s="2205"/>
      <c r="P177" s="2127"/>
      <c r="Q177" s="2127"/>
      <c r="R177" s="2521"/>
      <c r="S177" s="2425"/>
      <c r="T177" s="1435"/>
      <c r="U177" s="1436"/>
      <c r="V177" s="1436"/>
      <c r="W177" s="252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22"/>
      <c r="E178" s="2549"/>
      <c r="F178" s="2165"/>
      <c r="G178" s="2551"/>
      <c r="H178" s="2522"/>
      <c r="I178" s="2522"/>
      <c r="J178" s="2552"/>
      <c r="K178" s="2205"/>
      <c r="L178" s="2522"/>
      <c r="M178" s="2522"/>
      <c r="N178" s="2524"/>
      <c r="O178" s="2131"/>
      <c r="P178" s="317"/>
      <c r="Q178" s="318"/>
      <c r="R178" s="318" t="s">
        <v>420</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22"/>
      <c r="E179" s="2549"/>
      <c r="F179" s="2165"/>
      <c r="G179" s="2551"/>
      <c r="H179" s="2522"/>
      <c r="I179" s="2522"/>
      <c r="J179" s="2552"/>
      <c r="K179" s="2131"/>
      <c r="L179" s="317"/>
      <c r="M179" s="318"/>
      <c r="N179" s="318" t="s">
        <v>421</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22"/>
      <c r="E180" s="2549"/>
      <c r="F180" s="2166"/>
      <c r="G180" s="2551"/>
      <c r="H180" s="317"/>
      <c r="I180" s="318"/>
      <c r="J180" s="318" t="s">
        <v>449</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8"/>
      <c r="I182" s="2548">
        <v>1</v>
      </c>
      <c r="J182" s="2520"/>
      <c r="K182" s="2204" t="s">
        <v>66</v>
      </c>
      <c r="L182" s="2127"/>
      <c r="M182" s="2127" t="s">
        <v>110</v>
      </c>
      <c r="N182" s="2523" t="str">
        <f>IF(Z182="","",INDEX(TERRITORY_MR_LIST,MATCH(Z182,TERRITORY_LIST_ID,0)))</f>
        <v/>
      </c>
      <c r="O182" s="2204" t="s">
        <v>66</v>
      </c>
      <c r="P182" s="2127"/>
      <c r="Q182" s="2127" t="s">
        <v>110</v>
      </c>
      <c r="R182" s="2521" t="s">
        <v>22</v>
      </c>
      <c r="S182" s="2425" t="s">
        <v>19</v>
      </c>
      <c r="T182" s="1801"/>
      <c r="U182" s="1801" t="s">
        <v>110</v>
      </c>
      <c r="V182" s="1434"/>
      <c r="W182" s="252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8"/>
      <c r="I183" s="2548"/>
      <c r="J183" s="2520"/>
      <c r="K183" s="2205"/>
      <c r="L183" s="2127"/>
      <c r="M183" s="2127"/>
      <c r="N183" s="2523"/>
      <c r="O183" s="2205"/>
      <c r="P183" s="2127"/>
      <c r="Q183" s="2127"/>
      <c r="R183" s="2521"/>
      <c r="S183" s="2425"/>
      <c r="T183" s="1435"/>
      <c r="U183" s="1436"/>
      <c r="V183" s="1436"/>
      <c r="W183" s="252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22"/>
      <c r="I184" s="2522"/>
      <c r="J184" s="2552"/>
      <c r="K184" s="2205"/>
      <c r="L184" s="2522"/>
      <c r="M184" s="2522"/>
      <c r="N184" s="2524"/>
      <c r="O184" s="2131"/>
      <c r="P184" s="317"/>
      <c r="Q184" s="318"/>
      <c r="R184" s="318" t="s">
        <v>420</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22"/>
      <c r="I185" s="2522"/>
      <c r="J185" s="2552"/>
      <c r="K185" s="2131"/>
      <c r="L185" s="317"/>
      <c r="M185" s="318"/>
      <c r="N185" s="318" t="s">
        <v>421</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27"/>
      <c r="M187" s="2127" t="s">
        <v>110</v>
      </c>
      <c r="N187" s="2523" t="str">
        <f>IF(Z187="","",INDEX(TERRITORY_MR_LIST,MATCH(Z187,TERRITORY_LIST_ID,0)))</f>
        <v/>
      </c>
      <c r="O187" s="2204" t="s">
        <v>66</v>
      </c>
      <c r="P187" s="2127"/>
      <c r="Q187" s="2127" t="s">
        <v>110</v>
      </c>
      <c r="R187" s="2521" t="s">
        <v>22</v>
      </c>
      <c r="S187" s="2425" t="s">
        <v>19</v>
      </c>
      <c r="T187" s="1801"/>
      <c r="U187" s="1801" t="s">
        <v>110</v>
      </c>
      <c r="V187" s="1434"/>
      <c r="W187" s="252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27"/>
      <c r="M188" s="2127"/>
      <c r="N188" s="2523"/>
      <c r="O188" s="2205"/>
      <c r="P188" s="2127"/>
      <c r="Q188" s="2127"/>
      <c r="R188" s="2521"/>
      <c r="S188" s="2425"/>
      <c r="T188" s="1435"/>
      <c r="U188" s="1436"/>
      <c r="V188" s="1436"/>
      <c r="W188" s="252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22"/>
      <c r="M189" s="2522"/>
      <c r="N189" s="2524"/>
      <c r="O189" s="2131"/>
      <c r="P189" s="317"/>
      <c r="Q189" s="318"/>
      <c r="R189" s="318" t="s">
        <v>420</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27"/>
      <c r="Q191" s="2127" t="s">
        <v>110</v>
      </c>
      <c r="R191" s="2521" t="s">
        <v>22</v>
      </c>
      <c r="S191" s="2425" t="s">
        <v>19</v>
      </c>
      <c r="T191" s="1801"/>
      <c r="U191" s="1801" t="s">
        <v>110</v>
      </c>
      <c r="V191" s="1434"/>
      <c r="W191" s="252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27"/>
      <c r="Q192" s="2127"/>
      <c r="R192" s="2521"/>
      <c r="S192" s="2425"/>
      <c r="T192" s="1435"/>
      <c r="U192" s="1436"/>
      <c r="V192" s="1436"/>
      <c r="W192" s="252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72"/>
      <c r="E194" s="2198"/>
      <c r="F194" s="2198"/>
      <c r="G194" s="2146"/>
      <c r="H194" s="2573"/>
      <c r="I194" s="2586"/>
      <c r="J194" s="2171"/>
      <c r="K194" s="2156"/>
      <c r="L194" s="2156"/>
      <c r="M194" s="2156"/>
      <c r="N194" s="2584"/>
      <c r="O194" s="2156"/>
      <c r="P194" s="2156"/>
      <c r="Q194" s="2156"/>
      <c r="R194" s="2582"/>
      <c r="S194" s="2156"/>
      <c r="T194" s="1782"/>
      <c r="U194" s="1782"/>
      <c r="V194" s="1849"/>
      <c r="W194" s="1296"/>
    </row>
    <row customHeight="1" ht="16.5">
      <c r="A195" s="1837"/>
      <c r="B195" s="1838"/>
      <c r="C195" s="1842"/>
      <c r="D195" s="2572"/>
      <c r="E195" s="2198"/>
      <c r="F195" s="2198"/>
      <c r="G195" s="2146"/>
      <c r="H195" s="2574"/>
      <c r="I195" s="2587"/>
      <c r="J195" s="2172"/>
      <c r="K195" s="2157"/>
      <c r="L195" s="2157"/>
      <c r="M195" s="2157"/>
      <c r="N195" s="2585"/>
      <c r="O195" s="2157"/>
      <c r="P195" s="2157"/>
      <c r="Q195" s="2157"/>
      <c r="R195" s="2583"/>
      <c r="S195" s="2157"/>
      <c r="T195" s="1297"/>
      <c r="U195" s="1297"/>
      <c r="V195" s="1297"/>
      <c r="W195" s="1298"/>
    </row>
    <row customHeight="1" ht="17.25">
      <c r="A196" s="1837"/>
      <c r="B196" s="1838"/>
      <c r="C196" s="1842"/>
      <c r="D196" s="2572"/>
      <c r="E196" s="2198"/>
      <c r="F196" s="2198"/>
      <c r="G196" s="2146"/>
      <c r="H196" s="2574"/>
      <c r="I196" s="2587"/>
      <c r="J196" s="2575"/>
      <c r="K196" s="2157"/>
      <c r="L196" s="2157"/>
      <c r="M196" s="2157"/>
      <c r="N196" s="2583"/>
      <c r="O196" s="2157"/>
      <c r="P196" s="1785"/>
      <c r="Q196" s="1297"/>
      <c r="R196" s="1297"/>
      <c r="S196" s="1850"/>
      <c r="T196" s="1850"/>
      <c r="U196" s="1850"/>
      <c r="V196" s="1850"/>
      <c r="W196" s="1298"/>
    </row>
    <row customHeight="1" ht="17.25">
      <c r="A197" s="1837"/>
      <c r="B197" s="1838"/>
      <c r="C197" s="1842"/>
      <c r="D197" s="2572"/>
      <c r="E197" s="2198"/>
      <c r="F197" s="2198"/>
      <c r="G197" s="2146"/>
      <c r="H197" s="2574"/>
      <c r="I197" s="2587"/>
      <c r="J197" s="2575"/>
      <c r="K197" s="2157"/>
      <c r="L197" s="1297"/>
      <c r="M197" s="1297"/>
      <c r="N197" s="1297"/>
      <c r="O197" s="1297"/>
      <c r="P197" s="1297"/>
      <c r="Q197" s="1297"/>
      <c r="R197" s="1297"/>
      <c r="S197" s="1850"/>
      <c r="T197" s="1850"/>
      <c r="U197" s="1850"/>
      <c r="V197" s="1850"/>
      <c r="W197" s="1298"/>
    </row>
    <row customHeight="1" ht="17.25">
      <c r="A198" s="1837"/>
      <c r="B198" s="1838"/>
      <c r="C198" s="1842"/>
      <c r="D198" s="2572"/>
      <c r="E198" s="2198"/>
      <c r="F198" s="2198"/>
      <c r="G198" s="2146"/>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2015</v>
      </c>
    </row>
    <row customHeight="1" ht="17.25">
      <c r="G201" s="1836"/>
      <c r="H201" s="1836"/>
      <c r="I201" s="1836"/>
      <c r="M201" s="1832"/>
    </row>
    <row s="1847" customFormat="1" customHeight="1" ht="15">
      <c r="D202" s="2542"/>
      <c r="E202" s="2218"/>
      <c r="F202" s="2218"/>
      <c r="G202" s="2204"/>
      <c r="H202" s="1564"/>
      <c r="I202" s="2546">
        <v>1</v>
      </c>
      <c r="J202" s="2520"/>
      <c r="K202" s="1579"/>
      <c r="L202" s="2204" t="s">
        <v>66</v>
      </c>
      <c r="M202" s="2204" t="s">
        <v>66</v>
      </c>
      <c r="N202" s="1564"/>
      <c r="O202" s="2127" t="s">
        <v>110</v>
      </c>
      <c r="P202" s="2536"/>
      <c r="Q202" s="1580"/>
      <c r="R202" s="2204" t="s">
        <v>66</v>
      </c>
      <c r="S202" s="2204" t="s">
        <v>66</v>
      </c>
      <c r="T202" s="1852"/>
      <c r="U202" s="2127" t="s">
        <v>110</v>
      </c>
      <c r="V202" s="2543" t="str">
        <f>IF(AK202="","",INDEX(TERRITORY_MR_LIST,MATCH(AK202,TERRITORY_LIST_ID,0)))</f>
        <v/>
      </c>
      <c r="W202" s="1581"/>
      <c r="X202" s="2204" t="s">
        <v>66</v>
      </c>
      <c r="Y202" s="2204" t="s">
        <v>19</v>
      </c>
      <c r="Z202" s="1564"/>
      <c r="AA202" s="2127" t="s">
        <v>110</v>
      </c>
      <c r="AB202" s="2545"/>
      <c r="AC202" s="1582"/>
      <c r="AD202" s="2204" t="s">
        <v>66</v>
      </c>
      <c r="AE202" s="2204" t="s">
        <v>19</v>
      </c>
      <c r="AF202" s="1562"/>
      <c r="AG202" s="1810" t="s">
        <v>110</v>
      </c>
      <c r="AH202" s="1572"/>
      <c r="AI202" s="1800"/>
    </row>
    <row s="1847" customFormat="1" customHeight="1" ht="15">
      <c r="D203" s="2542"/>
      <c r="E203" s="2218"/>
      <c r="F203" s="2218"/>
      <c r="G203" s="2205"/>
      <c r="H203" s="1564"/>
      <c r="I203" s="2546"/>
      <c r="J203" s="2520"/>
      <c r="K203" s="1563"/>
      <c r="L203" s="2205"/>
      <c r="M203" s="2205"/>
      <c r="N203" s="1564"/>
      <c r="O203" s="2127"/>
      <c r="P203" s="2536"/>
      <c r="Q203" s="1560"/>
      <c r="R203" s="2205"/>
      <c r="S203" s="2205"/>
      <c r="T203" s="1852"/>
      <c r="U203" s="2127"/>
      <c r="V203" s="2544"/>
      <c r="W203" s="1561"/>
      <c r="X203" s="2205"/>
      <c r="Y203" s="2205"/>
      <c r="Z203" s="1564"/>
      <c r="AA203" s="2127"/>
      <c r="AB203" s="2514"/>
      <c r="AC203" s="1565"/>
      <c r="AD203" s="2131"/>
      <c r="AE203" s="2131"/>
      <c r="AF203" s="1566"/>
      <c r="AG203" s="1567"/>
      <c r="AH203" s="2537" t="s">
        <v>2016</v>
      </c>
      <c r="AI203" s="2538"/>
    </row>
    <row s="1847" customFormat="1" customHeight="1" ht="15">
      <c r="D204" s="2542"/>
      <c r="E204" s="2218"/>
      <c r="F204" s="2218"/>
      <c r="G204" s="2205"/>
      <c r="H204" s="1564"/>
      <c r="I204" s="2546"/>
      <c r="J204" s="2520"/>
      <c r="K204" s="1563"/>
      <c r="L204" s="2205"/>
      <c r="M204" s="2205"/>
      <c r="N204" s="1564"/>
      <c r="O204" s="2127"/>
      <c r="P204" s="2536"/>
      <c r="Q204" s="1560"/>
      <c r="R204" s="2205"/>
      <c r="S204" s="2205"/>
      <c r="T204" s="1852"/>
      <c r="U204" s="2127"/>
      <c r="V204" s="2544"/>
      <c r="W204" s="1561"/>
      <c r="X204" s="2205"/>
      <c r="Y204" s="2205"/>
      <c r="Z204" s="1603"/>
      <c r="AA204" s="1569"/>
      <c r="AB204" s="2539" t="s">
        <v>2017</v>
      </c>
      <c r="AC204" s="2539"/>
      <c r="AD204" s="2539"/>
      <c r="AE204" s="2539"/>
      <c r="AF204" s="2539"/>
      <c r="AG204" s="2539"/>
      <c r="AH204" s="2539"/>
      <c r="AI204" s="2540"/>
    </row>
    <row s="1847" customFormat="1" customHeight="1" ht="15">
      <c r="D205" s="2542"/>
      <c r="E205" s="2218"/>
      <c r="F205" s="2218"/>
      <c r="G205" s="2205"/>
      <c r="H205" s="1564"/>
      <c r="I205" s="2546"/>
      <c r="J205" s="2520"/>
      <c r="K205" s="1563"/>
      <c r="L205" s="2205"/>
      <c r="M205" s="2205"/>
      <c r="N205" s="1564"/>
      <c r="O205" s="2127"/>
      <c r="P205" s="2541"/>
      <c r="Q205" s="1560"/>
      <c r="R205" s="2205"/>
      <c r="S205" s="2205"/>
      <c r="T205" s="1853"/>
      <c r="U205" s="1604"/>
      <c r="V205" s="2537" t="s">
        <v>104</v>
      </c>
      <c r="W205" s="2537"/>
      <c r="X205" s="2537"/>
      <c r="Y205" s="2537"/>
      <c r="Z205" s="2537"/>
      <c r="AA205" s="2537"/>
      <c r="AB205" s="2537"/>
      <c r="AC205" s="2537"/>
      <c r="AD205" s="2537"/>
      <c r="AE205" s="2537"/>
      <c r="AF205" s="2537"/>
      <c r="AG205" s="2537"/>
      <c r="AH205" s="2537"/>
      <c r="AI205" s="2538"/>
    </row>
    <row s="1847" customFormat="1" customHeight="1" ht="11.25">
      <c r="D206" s="2542"/>
      <c r="E206" s="2218"/>
      <c r="F206" s="2218"/>
      <c r="G206" s="2205"/>
      <c r="H206" s="1568"/>
      <c r="I206" s="2546"/>
      <c r="J206" s="2547"/>
      <c r="K206" s="1563"/>
      <c r="L206" s="2205"/>
      <c r="M206" s="2205"/>
      <c r="N206" s="1568"/>
      <c r="O206" s="1569"/>
      <c r="P206" s="2537" t="s">
        <v>2018</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54" customFormat="1" customHeight="1" ht="11.25">
      <c r="D207" s="2542"/>
      <c r="E207" s="2218"/>
      <c r="F207" s="2218"/>
      <c r="G207" s="2131"/>
      <c r="H207" s="1570"/>
      <c r="I207" s="1571"/>
      <c r="J207" s="2537" t="s">
        <v>449</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74"/>
    </row>
    <row customHeight="1" ht="17.25">
      <c r="G208" s="1836"/>
      <c r="I208" s="1836"/>
      <c r="J208" s="1836"/>
      <c r="N208" s="1832"/>
    </row>
    <row s="1847" customFormat="1" customHeight="1" ht="15">
      <c r="D209" s="2542"/>
      <c r="E209" s="2218"/>
      <c r="F209" s="2218"/>
      <c r="G209" s="2198"/>
      <c r="H209" s="1599"/>
      <c r="I209" s="2200"/>
      <c r="J209" s="2171"/>
      <c r="K209" s="1784"/>
      <c r="L209" s="2156"/>
      <c r="M209" s="2156"/>
      <c r="N209" s="1584"/>
      <c r="O209" s="2156"/>
      <c r="P209" s="2171"/>
      <c r="Q209" s="1788"/>
      <c r="R209" s="2156"/>
      <c r="S209" s="2156"/>
      <c r="T209" s="1854"/>
      <c r="U209" s="2156"/>
      <c r="V209" s="2171"/>
      <c r="W209" s="1587"/>
      <c r="X209" s="2156"/>
      <c r="Y209" s="2156"/>
      <c r="Z209" s="1584"/>
      <c r="AA209" s="2156"/>
      <c r="AB209" s="2171"/>
      <c r="AC209" s="1588"/>
      <c r="AD209" s="2156"/>
      <c r="AE209" s="2156"/>
      <c r="AF209" s="1782"/>
      <c r="AG209" s="1782"/>
      <c r="AH209" s="1589"/>
      <c r="AI209" s="1296"/>
    </row>
    <row s="1847" customFormat="1" customHeight="1" ht="15">
      <c r="D210" s="2542"/>
      <c r="E210" s="2218"/>
      <c r="F210" s="2218"/>
      <c r="G210" s="2198"/>
      <c r="H210" s="1600"/>
      <c r="I210" s="2201"/>
      <c r="J210" s="2172"/>
      <c r="K210" s="1610"/>
      <c r="L210" s="2157"/>
      <c r="M210" s="2157"/>
      <c r="N210" s="1590"/>
      <c r="O210" s="2157"/>
      <c r="P210" s="2172"/>
      <c r="Q210" s="1789"/>
      <c r="R210" s="2157"/>
      <c r="S210" s="2157"/>
      <c r="T210" s="1855"/>
      <c r="U210" s="2157"/>
      <c r="V210" s="2172"/>
      <c r="W210" s="1593"/>
      <c r="X210" s="2157"/>
      <c r="Y210" s="2157"/>
      <c r="Z210" s="1590"/>
      <c r="AA210" s="2157"/>
      <c r="AB210" s="2172"/>
      <c r="AC210" s="1594"/>
      <c r="AD210" s="2157"/>
      <c r="AE210" s="2157"/>
      <c r="AF210" s="1787"/>
      <c r="AG210" s="1787"/>
      <c r="AH210" s="2196"/>
      <c r="AI210" s="2197"/>
    </row>
    <row s="1847" customFormat="1" customHeight="1" ht="15">
      <c r="D211" s="2542"/>
      <c r="E211" s="2218"/>
      <c r="F211" s="2218"/>
      <c r="G211" s="2198"/>
      <c r="H211" s="1600"/>
      <c r="I211" s="2201"/>
      <c r="J211" s="2172"/>
      <c r="K211" s="1610"/>
      <c r="L211" s="2157"/>
      <c r="M211" s="2157"/>
      <c r="N211" s="1590"/>
      <c r="O211" s="2157"/>
      <c r="P211" s="2172"/>
      <c r="Q211" s="1789"/>
      <c r="R211" s="2157"/>
      <c r="S211" s="2157"/>
      <c r="T211" s="1855"/>
      <c r="U211" s="2157"/>
      <c r="V211" s="2172"/>
      <c r="W211" s="1593"/>
      <c r="X211" s="2157"/>
      <c r="Y211" s="2157"/>
      <c r="Z211" s="1785"/>
      <c r="AA211" s="1787"/>
      <c r="AB211" s="2196"/>
      <c r="AC211" s="2196"/>
      <c r="AD211" s="2196"/>
      <c r="AE211" s="2196"/>
      <c r="AF211" s="2196"/>
      <c r="AG211" s="2196"/>
      <c r="AH211" s="2196"/>
      <c r="AI211" s="2197"/>
    </row>
    <row s="1847" customFormat="1" customHeight="1" ht="15">
      <c r="D212" s="2542"/>
      <c r="E212" s="2218"/>
      <c r="F212" s="2218"/>
      <c r="G212" s="2198"/>
      <c r="H212" s="1600"/>
      <c r="I212" s="2201"/>
      <c r="J212" s="2172"/>
      <c r="K212" s="1610"/>
      <c r="L212" s="2157"/>
      <c r="M212" s="2157"/>
      <c r="N212" s="1590"/>
      <c r="O212" s="2157"/>
      <c r="P212" s="2172"/>
      <c r="Q212" s="1789"/>
      <c r="R212" s="2157"/>
      <c r="S212" s="2157"/>
      <c r="T212" s="1856"/>
      <c r="U212" s="1597"/>
      <c r="V212" s="2196"/>
      <c r="W212" s="2196"/>
      <c r="X212" s="2196"/>
      <c r="Y212" s="2196"/>
      <c r="Z212" s="2196"/>
      <c r="AA212" s="2196"/>
      <c r="AB212" s="2196"/>
      <c r="AC212" s="2196"/>
      <c r="AD212" s="2196"/>
      <c r="AE212" s="2196"/>
      <c r="AF212" s="2196"/>
      <c r="AG212" s="2196"/>
      <c r="AH212" s="2196"/>
      <c r="AI212" s="2197"/>
    </row>
    <row s="1847" customFormat="1" customHeight="1" ht="11.25">
      <c r="D213" s="2542"/>
      <c r="E213" s="2218"/>
      <c r="F213" s="2218"/>
      <c r="G213" s="2198"/>
      <c r="H213" s="1601"/>
      <c r="I213" s="2201"/>
      <c r="J213" s="2172"/>
      <c r="K213" s="1610"/>
      <c r="L213" s="2157"/>
      <c r="M213" s="2157"/>
      <c r="N213" s="1787"/>
      <c r="O213" s="178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54" customFormat="1" customHeight="1" ht="11.25">
      <c r="D214" s="2542"/>
      <c r="E214" s="2218"/>
      <c r="F214" s="2218"/>
      <c r="G214" s="2203"/>
      <c r="H214" s="1598"/>
      <c r="I214" s="1602"/>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74"/>
    </row>
    <row customHeight="1" ht="17.25">
      <c r="A215" s="184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C6DE8-AD1B-00C6-B158-9F4DD2DCFA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2019</v>
      </c>
      <c r="B1" s="846"/>
      <c r="C1" s="982" t="s">
        <v>2020</v>
      </c>
      <c r="D1" s="980" t="s">
        <v>851</v>
      </c>
      <c r="E1" s="980" t="s">
        <v>899</v>
      </c>
      <c r="F1" s="980" t="s">
        <v>952</v>
      </c>
      <c r="G1" s="980" t="s">
        <v>939</v>
      </c>
      <c r="H1" s="980" t="s">
        <v>1700</v>
      </c>
    </row>
    <row customHeight="1" ht="9">
      <c r="A2" s="983" t="s">
        <v>2021</v>
      </c>
      <c r="B2" s="983"/>
      <c r="C2" s="984" t="str">
        <f>INDEX(TEMPLATE_NUMBER_FORM_LIST,MATCH(TEMPLATE_SPHERE,TEMPLATE_SPHERE_LIST,0))</f>
        <v>16</v>
      </c>
      <c r="D2" s="983" t="s">
        <v>1551</v>
      </c>
      <c r="E2" s="983" t="s">
        <v>156</v>
      </c>
      <c r="F2" s="985" t="s">
        <v>156</v>
      </c>
      <c r="G2" s="983" t="s">
        <v>156</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2022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2023</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2024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2025</v>
      </c>
    </row>
    <row customHeight="1" ht="117">
      <c r="A5" s="846" t="s">
        <v>2026</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2027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2028</v>
      </c>
    </row>
    <row customHeight="1" ht="90">
      <c r="A6" s="846" t="s">
        <v>2029</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2030</v>
      </c>
      <c r="B7" s="846" t="s">
        <v>100</v>
      </c>
      <c r="C7" s="984" t="str">
        <f>IF(TEMPLATE_SPHERE="HEAT",D7,E7)</f>
        <v>Форма 11. Информация о расходах на капитальный и текущий ремонт основных средств</v>
      </c>
      <c r="D7" s="846" t="s">
        <v>2031</v>
      </c>
      <c r="E7" s="846" t="s">
        <v>2032</v>
      </c>
      <c r="F7" s="986"/>
      <c r="G7" s="986"/>
      <c r="H7" s="986"/>
    </row>
    <row customHeight="1" ht="108">
      <c r="A8" s="846" t="s">
        <v>2033</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1242</v>
      </c>
      <c r="E8" s="846" t="s">
        <v>2034</v>
      </c>
      <c r="F8" s="986"/>
      <c r="G8" s="986"/>
      <c r="H8" s="986"/>
    </row>
    <row customHeight="1" ht="99">
      <c r="A9" s="846" t="s">
        <v>2035</v>
      </c>
      <c r="B9" s="846"/>
      <c r="C9" s="846" t="s">
        <v>2036</v>
      </c>
      <c r="D9" s="846"/>
      <c r="E9" s="846"/>
      <c r="F9" s="986"/>
      <c r="G9" s="986"/>
      <c r="H9" s="986"/>
    </row>
    <row customHeight="1" ht="126">
      <c r="A10" s="846" t="s">
        <v>2037</v>
      </c>
      <c r="B10" s="846"/>
      <c r="C10" s="846" t="s">
        <v>2038</v>
      </c>
      <c r="D10" s="846"/>
      <c r="E10" s="846"/>
      <c r="F10" s="986"/>
      <c r="G10" s="986"/>
      <c r="H10" s="986"/>
    </row>
    <row customHeight="1" ht="108">
      <c r="A11" s="846" t="s">
        <v>2039</v>
      </c>
      <c r="B11" s="846"/>
      <c r="C11" s="846" t="s">
        <v>2040</v>
      </c>
      <c r="D11" s="846"/>
      <c r="E11" s="846"/>
      <c r="F11" s="986"/>
      <c r="G11" s="986"/>
      <c r="H11" s="986"/>
    </row>
    <row customHeight="1" ht="54">
      <c r="A12" s="846" t="s">
        <v>2041</v>
      </c>
      <c r="B12" s="846"/>
      <c r="C12" s="846" t="s">
        <v>2042</v>
      </c>
      <c r="D12" s="846"/>
      <c r="E12" s="846"/>
      <c r="F12" s="986"/>
      <c r="G12" s="986"/>
      <c r="H12" s="986"/>
    </row>
    <row customHeight="1" ht="45">
      <c r="A13" s="846" t="s">
        <v>2043</v>
      </c>
      <c r="B13" s="846"/>
      <c r="C13" s="846" t="s">
        <v>2044</v>
      </c>
      <c r="D13" s="846"/>
      <c r="E13" s="846"/>
      <c r="F13" s="986"/>
      <c r="G13" s="986"/>
      <c r="H13" s="986"/>
    </row>
    <row customHeight="1" ht="117">
      <c r="A14" s="846" t="s">
        <v>2045</v>
      </c>
      <c r="B14" s="846"/>
      <c r="C14" s="846" t="s">
        <v>2046</v>
      </c>
      <c r="D14" s="846"/>
      <c r="E14" s="846"/>
      <c r="F14" s="986"/>
      <c r="G14" s="986"/>
      <c r="H14" s="986"/>
    </row>
    <row customHeight="1" ht="117">
      <c r="A15" s="846" t="s">
        <v>2047</v>
      </c>
      <c r="B15" s="846"/>
      <c r="C15" s="846" t="s">
        <v>2048</v>
      </c>
      <c r="D15" s="846"/>
      <c r="E15" s="846"/>
      <c r="F15" s="986"/>
      <c r="G15" s="986"/>
      <c r="H15" s="986"/>
    </row>
    <row customHeight="1" ht="63">
      <c r="A16" s="846" t="s">
        <v>2049</v>
      </c>
      <c r="B16" s="846"/>
      <c r="C16" s="846" t="s">
        <v>2050</v>
      </c>
      <c r="D16" s="846"/>
      <c r="E16" s="846"/>
      <c r="F16" s="986"/>
      <c r="G16" s="986"/>
      <c r="H16" s="986"/>
    </row>
    <row customHeight="1" ht="54">
      <c r="A17" s="846" t="s">
        <v>2051</v>
      </c>
      <c r="B17" s="846"/>
      <c r="C17" s="984" t="s">
        <v>2052</v>
      </c>
      <c r="D17" s="846"/>
      <c r="E17" s="846"/>
      <c r="F17" s="986"/>
      <c r="G17" s="986"/>
      <c r="H17" s="986"/>
    </row>
    <row customHeight="1" ht="27">
      <c r="A18" s="846" t="s">
        <v>2053</v>
      </c>
      <c r="B18" s="846"/>
      <c r="C18" s="984" t="s">
        <v>2054</v>
      </c>
      <c r="D18" s="846"/>
      <c r="E18" s="846"/>
      <c r="F18" s="986"/>
      <c r="G18" s="986"/>
      <c r="H18" s="986"/>
    </row>
    <row customHeight="1" ht="54">
      <c r="A19" s="846" t="s">
        <v>2055</v>
      </c>
      <c r="B19" s="846"/>
      <c r="C19" s="984" t="s">
        <v>2056</v>
      </c>
      <c r="D19" s="846"/>
      <c r="E19" s="846"/>
      <c r="F19" s="986"/>
      <c r="G19" s="986"/>
      <c r="H19" s="986"/>
    </row>
    <row customHeight="1" ht="36">
      <c r="A20" s="846" t="s">
        <v>2057</v>
      </c>
      <c r="B20" s="846"/>
      <c r="C20" s="984" t="s">
        <v>2058</v>
      </c>
      <c r="D20" s="846"/>
      <c r="E20" s="846"/>
      <c r="F20" s="986"/>
      <c r="G20" s="986"/>
      <c r="H20" s="986"/>
    </row>
    <row customHeight="1" ht="36">
      <c r="A21" s="846" t="s">
        <v>2059</v>
      </c>
      <c r="B21" s="846"/>
      <c r="C21" s="984" t="s">
        <v>2060</v>
      </c>
      <c r="D21" s="846"/>
      <c r="E21" s="846"/>
      <c r="F21" s="986"/>
      <c r="G21" s="986"/>
      <c r="H21" s="986"/>
    </row>
    <row customHeight="1" ht="27">
      <c r="A22" s="846" t="s">
        <v>2061</v>
      </c>
      <c r="B22" s="846"/>
      <c r="C22" s="984" t="s">
        <v>2062</v>
      </c>
      <c r="D22" s="846"/>
      <c r="E22" s="846"/>
      <c r="F22" s="986"/>
      <c r="G22" s="986"/>
      <c r="H22" s="986"/>
    </row>
    <row customHeight="1" ht="36">
      <c r="A23" s="846" t="s">
        <v>2063</v>
      </c>
      <c r="B23" s="846"/>
      <c r="C23" s="984" t="s">
        <v>2064</v>
      </c>
      <c r="D23" s="846"/>
      <c r="E23" s="846"/>
      <c r="F23" s="986"/>
      <c r="G23" s="986"/>
      <c r="H23" s="986"/>
    </row>
    <row customHeight="1" ht="28.5">
      <c r="A24" s="846" t="s">
        <v>2065</v>
      </c>
      <c r="B24" s="846"/>
      <c r="C24" s="984" t="s">
        <v>2066</v>
      </c>
      <c r="D24" s="846"/>
      <c r="E24" s="846"/>
      <c r="F24" s="986"/>
      <c r="G24" s="986"/>
      <c r="H24" s="986"/>
    </row>
    <row customHeight="1" ht="36">
      <c r="A25" s="846" t="s">
        <v>2067</v>
      </c>
      <c r="B25" s="846"/>
      <c r="C25" s="984" t="s">
        <v>2068</v>
      </c>
      <c r="D25" s="846"/>
      <c r="E25" s="846"/>
      <c r="F25" s="986"/>
      <c r="G25" s="986"/>
      <c r="H25" s="986"/>
    </row>
    <row customHeight="1" ht="27">
      <c r="A26" s="846" t="s">
        <v>2069</v>
      </c>
      <c r="B26" s="846"/>
      <c r="C26" s="984" t="s">
        <v>2070</v>
      </c>
      <c r="D26" s="846"/>
      <c r="E26" s="846"/>
      <c r="F26" s="986"/>
      <c r="G26" s="986"/>
      <c r="H26" s="986"/>
    </row>
    <row customHeight="1" ht="36">
      <c r="A27" s="846" t="s">
        <v>2071</v>
      </c>
      <c r="B27" s="846"/>
      <c r="C27" s="984" t="s">
        <v>2072</v>
      </c>
      <c r="D27" s="846"/>
      <c r="E27" s="846"/>
      <c r="F27" s="986"/>
      <c r="G27" s="986"/>
      <c r="H27" s="986"/>
    </row>
    <row customHeight="1" ht="28.5">
      <c r="A28" s="846" t="s">
        <v>2073</v>
      </c>
      <c r="B28" s="846"/>
      <c r="C28" s="984" t="s">
        <v>2074</v>
      </c>
      <c r="D28" s="846"/>
      <c r="E28" s="846"/>
      <c r="F28" s="986"/>
      <c r="G28" s="986"/>
      <c r="H28" s="986"/>
    </row>
    <row customHeight="1" ht="126">
      <c r="A29" s="846" t="s">
        <v>2075</v>
      </c>
      <c r="B29" s="846" t="s">
        <v>1652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2076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2077</v>
      </c>
    </row>
    <row customHeight="1" ht="36">
      <c r="A30" s="846" t="s">
        <v>2078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2079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2080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2081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2082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2083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2084</v>
      </c>
    </row>
    <row customHeight="1" ht="9">
      <c r="A33" s="846"/>
      <c r="B33" s="846"/>
      <c r="C33" s="984"/>
      <c r="D33" s="846"/>
      <c r="E33" s="846"/>
      <c r="F33" s="986"/>
      <c r="G33" s="986"/>
      <c r="H33" s="986"/>
    </row>
    <row customHeight="1" ht="9">
      <c r="A34" s="846"/>
      <c r="B34" s="846" t="s">
        <v>1589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9D18E8-3C78-475B-6C77-A72928680E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2085</v>
      </c>
      <c r="D1" s="898"/>
      <c r="E1" s="898"/>
      <c r="F1" s="898"/>
      <c r="G1" s="898"/>
      <c r="H1" s="898" t="s">
        <v>2086</v>
      </c>
      <c r="I1" s="898"/>
      <c r="J1" s="898"/>
      <c r="K1" s="898"/>
      <c r="L1" s="898"/>
      <c r="M1" s="898" t="s">
        <v>2087</v>
      </c>
      <c r="N1" s="898" t="s">
        <v>2088</v>
      </c>
      <c r="O1" s="2611" t="s">
        <v>2089</v>
      </c>
      <c r="P1" s="2611"/>
      <c r="Q1" s="2611"/>
      <c r="R1" s="2611"/>
      <c r="S1" s="2611"/>
      <c r="T1" s="2611" t="s">
        <v>2087</v>
      </c>
      <c r="U1" s="2611"/>
      <c r="V1" s="2611"/>
      <c r="W1" s="2611"/>
      <c r="X1" s="2611"/>
      <c r="Y1" s="999"/>
      <c r="Z1" s="2611" t="s">
        <v>2090</v>
      </c>
      <c r="AA1" s="2611"/>
      <c r="AB1" s="2611"/>
      <c r="AC1" s="2611"/>
      <c r="AD1" s="2611"/>
    </row>
    <row customHeight="1" ht="18">
      <c r="A2" s="846"/>
      <c r="B2" s="846"/>
      <c r="C2" s="841" t="s">
        <v>851</v>
      </c>
      <c r="D2" s="841" t="s">
        <v>899</v>
      </c>
      <c r="E2" s="841" t="s">
        <v>952</v>
      </c>
      <c r="F2" s="841" t="s">
        <v>939</v>
      </c>
      <c r="G2" s="841" t="s">
        <v>1700</v>
      </c>
      <c r="H2" s="843"/>
      <c r="I2" s="843"/>
      <c r="J2" s="843"/>
      <c r="K2" s="843"/>
      <c r="L2" s="843"/>
      <c r="M2" s="843"/>
      <c r="N2" s="843"/>
      <c r="O2" s="841" t="s">
        <v>851</v>
      </c>
      <c r="P2" s="841" t="s">
        <v>899</v>
      </c>
      <c r="Q2" s="841" t="s">
        <v>939</v>
      </c>
      <c r="R2" s="841" t="s">
        <v>952</v>
      </c>
      <c r="S2" s="841" t="s">
        <v>1700</v>
      </c>
      <c r="T2" s="841" t="s">
        <v>851</v>
      </c>
      <c r="U2" s="841" t="s">
        <v>899</v>
      </c>
      <c r="V2" s="841" t="s">
        <v>939</v>
      </c>
      <c r="W2" s="841" t="s">
        <v>952</v>
      </c>
      <c r="X2" s="841" t="s">
        <v>1700</v>
      </c>
      <c r="Y2" s="841"/>
      <c r="Z2" s="841" t="s">
        <v>851</v>
      </c>
      <c r="AA2" s="850" t="s">
        <v>899</v>
      </c>
      <c r="AB2" s="841" t="s">
        <v>939</v>
      </c>
      <c r="AC2" s="841" t="s">
        <v>952</v>
      </c>
      <c r="AD2" s="841" t="s">
        <v>1700</v>
      </c>
    </row>
    <row customHeight="1" ht="162">
      <c r="A3" s="845" t="s">
        <v>27</v>
      </c>
      <c r="B3" s="845"/>
      <c r="C3" s="2615" t="s">
        <v>2091</v>
      </c>
      <c r="D3" s="2616"/>
      <c r="E3" s="2616"/>
      <c r="F3" s="2617"/>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2092</v>
      </c>
      <c r="AA3" s="843" t="s">
        <v>2093</v>
      </c>
      <c r="AB3" s="846" t="s">
        <v>2094</v>
      </c>
      <c r="AC3" s="846" t="s">
        <v>2095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2" t="s">
        <v>33</v>
      </c>
      <c r="B11" s="899">
        <v>1</v>
      </c>
      <c r="C11" s="2618" t="s">
        <v>1639</v>
      </c>
      <c r="D11" s="2618" t="s">
        <v>1635</v>
      </c>
      <c r="E11" s="2618" t="s">
        <v>1733</v>
      </c>
      <c r="F11" s="2618" t="s">
        <v>2096</v>
      </c>
      <c r="G11" s="2618"/>
      <c r="H11" s="898" t="s">
        <v>2097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2098</v>
      </c>
      <c r="U11" s="843" t="s">
        <v>2099</v>
      </c>
      <c r="V11" s="843"/>
      <c r="W11" s="843"/>
      <c r="X11" s="843"/>
      <c r="Y11" s="1000"/>
      <c r="Z11" s="846" t="s">
        <v>2100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612"/>
      <c r="B12" s="899">
        <v>2</v>
      </c>
      <c r="C12" s="2619"/>
      <c r="D12" s="2619"/>
      <c r="E12" s="2619"/>
      <c r="F12" s="2619"/>
      <c r="G12" s="2619"/>
      <c r="H12" s="898" t="s">
        <v>2101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2102</v>
      </c>
      <c r="U12" s="843" t="s">
        <v>2103</v>
      </c>
      <c r="V12" s="843"/>
      <c r="W12" s="843"/>
      <c r="X12" s="843"/>
      <c r="Y12" s="1000"/>
      <c r="Z12" s="846" t="s">
        <v>2104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612"/>
      <c r="B13" s="899">
        <v>3</v>
      </c>
      <c r="C13" s="2619"/>
      <c r="D13" s="2619"/>
      <c r="E13" s="2619"/>
      <c r="F13" s="2619"/>
      <c r="G13" s="2619"/>
      <c r="H13" s="2611" t="s">
        <v>2105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2106</v>
      </c>
      <c r="U13" s="844" t="s">
        <v>2107</v>
      </c>
      <c r="V13" s="844"/>
      <c r="W13" s="844"/>
      <c r="X13" s="843"/>
      <c r="Y13" s="1000"/>
      <c r="Z13" s="846" t="s">
        <v>2108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612"/>
      <c r="B14" s="899">
        <v>4</v>
      </c>
      <c r="C14" s="2619"/>
      <c r="D14" s="2619"/>
      <c r="E14" s="2619"/>
      <c r="F14" s="2619"/>
      <c r="G14" s="2619"/>
      <c r="H14" s="2611"/>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2109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2110</v>
      </c>
      <c r="AA14" s="849" t="s">
        <v>2110</v>
      </c>
      <c r="AB14" s="846"/>
      <c r="AC14" s="846"/>
      <c r="AD14" s="846"/>
    </row>
    <row customHeight="1" ht="108">
      <c r="A15" s="2612"/>
      <c r="B15" s="899">
        <v>5</v>
      </c>
      <c r="C15" s="2619"/>
      <c r="D15" s="2619"/>
      <c r="E15" s="2619"/>
      <c r="F15" s="2619"/>
      <c r="G15" s="2619"/>
      <c r="H15" s="2613" t="s">
        <v>2111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2112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2113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20"/>
      <c r="D16" s="2620"/>
      <c r="E16" s="2620"/>
      <c r="F16" s="2620"/>
      <c r="G16" s="2620"/>
      <c r="H16" s="2614"/>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2113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1736</v>
      </c>
      <c r="B18" s="899">
        <v>1</v>
      </c>
      <c r="C18" s="843" t="s">
        <v>2097</v>
      </c>
      <c r="D18" s="967" t="s">
        <v>2097</v>
      </c>
      <c r="E18" s="843" t="s">
        <v>2097</v>
      </c>
      <c r="F18" s="843" t="s">
        <v>2097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2114</v>
      </c>
      <c r="U18" s="846" t="s">
        <v>2115</v>
      </c>
      <c r="V18" s="846" t="s">
        <v>2116</v>
      </c>
      <c r="W18" s="846" t="s">
        <v>2117</v>
      </c>
      <c r="X18" s="843"/>
      <c r="Y18" s="1000"/>
      <c r="Z18" s="846" t="s">
        <v>2118</v>
      </c>
      <c r="AA18" s="849" t="s">
        <v>2119</v>
      </c>
      <c r="AB18" s="849" t="s">
        <v>2119</v>
      </c>
      <c r="AC18" s="849" t="s">
        <v>2119</v>
      </c>
      <c r="AD18" s="846"/>
    </row>
    <row customHeight="1" ht="36">
      <c r="A19" s="845"/>
      <c r="B19" s="899">
        <v>2</v>
      </c>
      <c r="C19" s="843" t="s">
        <v>2101</v>
      </c>
      <c r="D19" s="967" t="s">
        <v>2101</v>
      </c>
      <c r="E19" s="843" t="s">
        <v>2101</v>
      </c>
      <c r="F19" s="843" t="s">
        <v>2101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2120</v>
      </c>
      <c r="U19" s="846" t="s">
        <v>2121</v>
      </c>
      <c r="V19" s="846" t="s">
        <v>2122</v>
      </c>
      <c r="W19" s="846" t="s">
        <v>2123</v>
      </c>
      <c r="X19" s="843"/>
      <c r="Y19" s="1000"/>
      <c r="Z19" s="846" t="s">
        <v>2124</v>
      </c>
      <c r="AA19" s="849" t="s">
        <v>2124</v>
      </c>
      <c r="AB19" s="849" t="s">
        <v>2124</v>
      </c>
      <c r="AC19" s="849" t="s">
        <v>2124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734</v>
      </c>
      <c r="P20" s="957" t="s">
        <v>734</v>
      </c>
      <c r="Q20" s="957" t="s">
        <v>734</v>
      </c>
      <c r="R20" s="957" t="s">
        <v>734</v>
      </c>
      <c r="S20" s="957"/>
      <c r="T20" s="964" t="s">
        <v>2125</v>
      </c>
      <c r="U20" s="846" t="s">
        <v>2126</v>
      </c>
      <c r="V20" s="846" t="s">
        <v>2127</v>
      </c>
      <c r="W20" s="846" t="s">
        <v>2128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2129</v>
      </c>
      <c r="U21" s="846"/>
      <c r="V21" s="846"/>
      <c r="W21" s="846"/>
      <c r="X21" s="843"/>
      <c r="Y21" s="1000"/>
      <c r="Z21" s="846" t="s">
        <v>2130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2131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2132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754</v>
      </c>
      <c r="R24" s="957"/>
      <c r="S24" s="957"/>
      <c r="T24" s="964"/>
      <c r="U24" s="846"/>
      <c r="V24" s="846" t="s">
        <v>2133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761</v>
      </c>
      <c r="R25" s="957" t="s">
        <v>312</v>
      </c>
      <c r="S25" s="957"/>
      <c r="T25" s="964" t="s">
        <v>2134</v>
      </c>
      <c r="U25" s="846" t="s">
        <v>2134</v>
      </c>
      <c r="V25" s="846" t="s">
        <v>2134</v>
      </c>
      <c r="W25" s="846" t="s">
        <v>2134</v>
      </c>
      <c r="X25" s="843"/>
      <c r="Y25" s="1000"/>
      <c r="Z25" s="846"/>
      <c r="AA25" s="849"/>
      <c r="AB25" s="846"/>
      <c r="AC25" s="846"/>
      <c r="AD25" s="846"/>
    </row>
    <row customHeight="1" ht="18">
      <c r="A26" s="845"/>
      <c r="B26" s="899">
        <v>9</v>
      </c>
      <c r="C26" s="843" t="s">
        <v>678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750</v>
      </c>
      <c r="P26" s="957" t="s">
        <v>744</v>
      </c>
      <c r="Q26" s="957" t="s">
        <v>2135</v>
      </c>
      <c r="R26" s="957" t="s">
        <v>744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2136</v>
      </c>
      <c r="V26" s="964" t="s">
        <v>2136</v>
      </c>
      <c r="W26" s="964" t="s">
        <v>2136</v>
      </c>
      <c r="X26" s="843"/>
      <c r="Y26" s="1000"/>
      <c r="Z26" s="846"/>
      <c r="AA26" s="849"/>
      <c r="AB26" s="846"/>
      <c r="AC26" s="846"/>
      <c r="AD26" s="846"/>
    </row>
    <row customHeight="1" ht="18">
      <c r="A27" s="845"/>
      <c r="B27" s="899">
        <v>10</v>
      </c>
      <c r="C27" s="843" t="s">
        <v>682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752</v>
      </c>
      <c r="P27" s="957" t="s">
        <v>746</v>
      </c>
      <c r="Q27" s="957" t="s">
        <v>2137</v>
      </c>
      <c r="R27" s="957" t="s">
        <v>746</v>
      </c>
      <c r="S27" s="957"/>
      <c r="T27" s="964" t="s">
        <v>2138</v>
      </c>
      <c r="U27" s="964" t="s">
        <v>2138</v>
      </c>
      <c r="V27" s="964" t="s">
        <v>2138</v>
      </c>
      <c r="W27" s="964" t="s">
        <v>2138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754</v>
      </c>
      <c r="P28" s="957"/>
      <c r="Q28" s="957"/>
      <c r="R28" s="957"/>
      <c r="S28" s="957"/>
      <c r="T28" s="964" t="s">
        <v>2139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761</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2140</v>
      </c>
      <c r="V29" s="846"/>
      <c r="W29" s="846" t="s">
        <v>2140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763</v>
      </c>
      <c r="P30" s="957" t="s">
        <v>754</v>
      </c>
      <c r="Q30" s="957" t="s">
        <v>763</v>
      </c>
      <c r="R30" s="957" t="s">
        <v>754</v>
      </c>
      <c r="S30" s="957"/>
      <c r="T30" s="964" t="s">
        <v>2141</v>
      </c>
      <c r="U30" s="846" t="s">
        <v>2141</v>
      </c>
      <c r="V30" s="846" t="s">
        <v>2141</v>
      </c>
      <c r="W30" s="846" t="s">
        <v>2141</v>
      </c>
      <c r="X30" s="843"/>
      <c r="Y30" s="1000"/>
      <c r="Z30" s="846"/>
      <c r="AA30" s="849" t="s">
        <v>2142</v>
      </c>
      <c r="AB30" s="849" t="s">
        <v>2142</v>
      </c>
      <c r="AC30" s="849" t="s">
        <v>2142</v>
      </c>
      <c r="AD30" s="846"/>
    </row>
    <row customHeight="1" ht="18">
      <c r="A31" s="845"/>
      <c r="B31" s="899">
        <v>14</v>
      </c>
      <c r="C31" s="843" t="s">
        <v>2143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2144</v>
      </c>
      <c r="P31" s="957" t="s">
        <v>757</v>
      </c>
      <c r="Q31" s="957" t="s">
        <v>2144</v>
      </c>
      <c r="R31" s="957" t="s">
        <v>757</v>
      </c>
      <c r="S31" s="957"/>
      <c r="T31" s="965" t="s">
        <v>2145</v>
      </c>
      <c r="U31" s="846" t="s">
        <v>2145</v>
      </c>
      <c r="V31" s="846" t="s">
        <v>2145</v>
      </c>
      <c r="W31" s="846" t="s">
        <v>2145</v>
      </c>
      <c r="X31" s="843"/>
      <c r="Y31" s="1000"/>
      <c r="Z31" s="846"/>
      <c r="AA31" s="849"/>
      <c r="AB31" s="849"/>
      <c r="AC31" s="849"/>
      <c r="AD31" s="846"/>
    </row>
    <row customHeight="1" ht="36">
      <c r="A32" s="845"/>
      <c r="B32" s="899">
        <v>15</v>
      </c>
      <c r="C32" s="843" t="s">
        <v>2146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2147</v>
      </c>
      <c r="P32" s="957" t="s">
        <v>759</v>
      </c>
      <c r="Q32" s="957" t="s">
        <v>2147</v>
      </c>
      <c r="R32" s="957" t="s">
        <v>759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2148</v>
      </c>
      <c r="V32" s="846" t="s">
        <v>2148</v>
      </c>
      <c r="W32" s="846" t="s">
        <v>2148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765</v>
      </c>
      <c r="P33" s="957" t="s">
        <v>761</v>
      </c>
      <c r="Q33" s="957" t="s">
        <v>765</v>
      </c>
      <c r="R33" s="957" t="s">
        <v>761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2149</v>
      </c>
      <c r="V33" s="846" t="s">
        <v>2149</v>
      </c>
      <c r="W33" s="846" t="s">
        <v>2150</v>
      </c>
      <c r="X33" s="843"/>
      <c r="Y33" s="1000"/>
      <c r="Z33" s="846"/>
      <c r="AA33" s="849" t="s">
        <v>2151</v>
      </c>
      <c r="AB33" s="849" t="s">
        <v>2151</v>
      </c>
      <c r="AC33" s="849" t="s">
        <v>2151</v>
      </c>
      <c r="AD33" s="846"/>
    </row>
    <row customHeight="1" ht="27">
      <c r="A34" s="845"/>
      <c r="B34" s="899">
        <v>17</v>
      </c>
      <c r="C34" s="843" t="s">
        <v>2152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2153</v>
      </c>
      <c r="P34" s="957" t="s">
        <v>2135</v>
      </c>
      <c r="Q34" s="957" t="s">
        <v>2153</v>
      </c>
      <c r="R34" s="957" t="s">
        <v>2135</v>
      </c>
      <c r="S34" s="957"/>
      <c r="T34" s="966" t="s">
        <v>2154</v>
      </c>
      <c r="U34" s="846" t="s">
        <v>2154</v>
      </c>
      <c r="V34" s="846" t="s">
        <v>2154</v>
      </c>
      <c r="W34" s="846" t="s">
        <v>2155</v>
      </c>
      <c r="X34" s="843"/>
      <c r="Y34" s="1000"/>
      <c r="Z34" s="846"/>
      <c r="AA34" s="849"/>
      <c r="AB34" s="846"/>
      <c r="AC34" s="846"/>
      <c r="AD34" s="846"/>
    </row>
    <row customHeight="1" ht="45">
      <c r="A35" s="845"/>
      <c r="B35" s="899">
        <v>18</v>
      </c>
      <c r="C35" s="843" t="s">
        <v>2156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2157</v>
      </c>
      <c r="P35" s="957" t="s">
        <v>2137</v>
      </c>
      <c r="Q35" s="957" t="s">
        <v>2157</v>
      </c>
      <c r="R35" s="957" t="s">
        <v>2137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2158</v>
      </c>
      <c r="V35" s="846" t="s">
        <v>2158</v>
      </c>
      <c r="W35" s="846" t="s">
        <v>2158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767</v>
      </c>
      <c r="P36" s="957" t="s">
        <v>763</v>
      </c>
      <c r="Q36" s="957" t="s">
        <v>767</v>
      </c>
      <c r="R36" s="957" t="s">
        <v>763</v>
      </c>
      <c r="S36" s="957"/>
      <c r="T36" s="964" t="s">
        <v>2159</v>
      </c>
      <c r="U36" s="846" t="s">
        <v>2159</v>
      </c>
      <c r="V36" s="846" t="s">
        <v>2159</v>
      </c>
      <c r="W36" s="846" t="s">
        <v>2159</v>
      </c>
      <c r="X36" s="843"/>
      <c r="Y36" s="1000"/>
      <c r="Z36" s="846"/>
      <c r="AA36" s="849"/>
      <c r="AB36" s="846"/>
      <c r="AC36" s="846"/>
      <c r="AD36" s="846"/>
    </row>
    <row customHeight="1" ht="18">
      <c r="A37" s="845"/>
      <c r="B37" s="899">
        <v>20</v>
      </c>
      <c r="C37" s="843" t="s">
        <v>2160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2161</v>
      </c>
      <c r="P37" s="957" t="s">
        <v>2144</v>
      </c>
      <c r="Q37" s="957" t="s">
        <v>2161</v>
      </c>
      <c r="R37" s="957" t="s">
        <v>2144</v>
      </c>
      <c r="S37" s="957"/>
      <c r="T37" s="964" t="s">
        <v>2162</v>
      </c>
      <c r="U37" s="846" t="s">
        <v>2162</v>
      </c>
      <c r="V37" s="846" t="s">
        <v>2162</v>
      </c>
      <c r="W37" s="846" t="s">
        <v>2162</v>
      </c>
      <c r="X37" s="843"/>
      <c r="Y37" s="1000"/>
      <c r="Z37" s="846"/>
      <c r="AA37" s="849"/>
      <c r="AB37" s="846"/>
      <c r="AC37" s="846"/>
      <c r="AD37" s="846"/>
    </row>
    <row customHeight="1" ht="18">
      <c r="A38" s="845"/>
      <c r="B38" s="899">
        <v>21</v>
      </c>
      <c r="C38" s="843" t="s">
        <v>2163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2164</v>
      </c>
      <c r="P38" s="957" t="s">
        <v>2147</v>
      </c>
      <c r="Q38" s="957" t="s">
        <v>2164</v>
      </c>
      <c r="R38" s="957" t="s">
        <v>2147</v>
      </c>
      <c r="S38" s="957"/>
      <c r="T38" s="964" t="s">
        <v>2165</v>
      </c>
      <c r="U38" s="846" t="s">
        <v>2165</v>
      </c>
      <c r="V38" s="846" t="s">
        <v>2165</v>
      </c>
      <c r="W38" s="846" t="s">
        <v>2165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771</v>
      </c>
      <c r="P39" s="957" t="s">
        <v>765</v>
      </c>
      <c r="Q39" s="957" t="s">
        <v>771</v>
      </c>
      <c r="R39" s="957" t="s">
        <v>765</v>
      </c>
      <c r="S39" s="957"/>
      <c r="T39" s="964" t="s">
        <v>2166</v>
      </c>
      <c r="U39" s="846" t="s">
        <v>2167</v>
      </c>
      <c r="V39" s="846" t="s">
        <v>2168</v>
      </c>
      <c r="W39" s="846" t="s">
        <v>2169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823</v>
      </c>
      <c r="P40" s="957" t="s">
        <v>767</v>
      </c>
      <c r="Q40" s="957" t="s">
        <v>823</v>
      </c>
      <c r="R40" s="957" t="s">
        <v>767</v>
      </c>
      <c r="S40" s="957"/>
      <c r="T40" s="843" t="s">
        <v>2170</v>
      </c>
      <c r="U40" s="843" t="s">
        <v>2170</v>
      </c>
      <c r="V40" s="843" t="s">
        <v>2170</v>
      </c>
      <c r="W40" s="843" t="s">
        <v>2170</v>
      </c>
      <c r="X40" s="843"/>
      <c r="Y40" s="1000"/>
      <c r="Z40" s="846" t="s">
        <v>2171</v>
      </c>
      <c r="AA40" s="849" t="s">
        <v>2171</v>
      </c>
      <c r="AB40" s="849" t="s">
        <v>2171</v>
      </c>
      <c r="AC40" s="849" t="s">
        <v>2171</v>
      </c>
      <c r="AD40" s="846"/>
    </row>
    <row customHeight="1" ht="27">
      <c r="A41" s="845"/>
      <c r="B41" s="899">
        <v>24</v>
      </c>
      <c r="C41" s="843" t="s">
        <v>2172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2173</v>
      </c>
      <c r="P41" s="957" t="s">
        <v>2161</v>
      </c>
      <c r="Q41" s="957" t="s">
        <v>2173</v>
      </c>
      <c r="R41" s="957" t="s">
        <v>2161</v>
      </c>
      <c r="S41" s="957"/>
      <c r="T41" s="843" t="s">
        <v>2174</v>
      </c>
      <c r="U41" s="843" t="s">
        <v>2174</v>
      </c>
      <c r="V41" s="843" t="s">
        <v>2174</v>
      </c>
      <c r="W41" s="843" t="s">
        <v>2174</v>
      </c>
      <c r="X41" s="843"/>
      <c r="Y41" s="1000"/>
      <c r="Z41" s="846" t="s">
        <v>2175</v>
      </c>
      <c r="AA41" s="846" t="s">
        <v>2175</v>
      </c>
      <c r="AB41" s="846" t="s">
        <v>2175</v>
      </c>
      <c r="AC41" s="846" t="s">
        <v>2175</v>
      </c>
      <c r="AD41" s="846"/>
    </row>
    <row customHeight="1" ht="27">
      <c r="A42" s="845"/>
      <c r="B42" s="899">
        <v>25</v>
      </c>
      <c r="C42" s="843" t="s">
        <v>2176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2177</v>
      </c>
      <c r="P42" s="957" t="s">
        <v>2164</v>
      </c>
      <c r="Q42" s="957" t="s">
        <v>2177</v>
      </c>
      <c r="R42" s="957" t="s">
        <v>2164</v>
      </c>
      <c r="S42" s="957"/>
      <c r="T42" s="843" t="s">
        <v>2178</v>
      </c>
      <c r="U42" s="843" t="s">
        <v>2178</v>
      </c>
      <c r="V42" s="843" t="s">
        <v>2178</v>
      </c>
      <c r="W42" s="843" t="s">
        <v>2178</v>
      </c>
      <c r="X42" s="843"/>
      <c r="Y42" s="1000"/>
      <c r="Z42" s="846" t="s">
        <v>2179</v>
      </c>
      <c r="AA42" s="846" t="s">
        <v>2179</v>
      </c>
      <c r="AB42" s="846" t="s">
        <v>2179</v>
      </c>
      <c r="AC42" s="846" t="s">
        <v>2179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2180</v>
      </c>
      <c r="P43" s="957" t="s">
        <v>771</v>
      </c>
      <c r="Q43" s="957" t="s">
        <v>2180</v>
      </c>
      <c r="R43" s="957" t="s">
        <v>771</v>
      </c>
      <c r="S43" s="957"/>
      <c r="T43" s="843" t="s">
        <v>2181</v>
      </c>
      <c r="U43" s="843" t="s">
        <v>2181</v>
      </c>
      <c r="V43" s="843" t="s">
        <v>2181</v>
      </c>
      <c r="W43" s="843" t="s">
        <v>2181</v>
      </c>
      <c r="X43" s="843"/>
      <c r="Y43" s="1000"/>
      <c r="Z43" s="846" t="s">
        <v>2182</v>
      </c>
      <c r="AA43" s="846" t="s">
        <v>2182</v>
      </c>
      <c r="AB43" s="846" t="s">
        <v>2182</v>
      </c>
      <c r="AC43" s="846" t="s">
        <v>2182</v>
      </c>
      <c r="AD43" s="846"/>
    </row>
    <row customHeight="1" ht="27">
      <c r="A44" s="845"/>
      <c r="B44" s="899">
        <v>27</v>
      </c>
      <c r="C44" s="843" t="s">
        <v>2183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2184</v>
      </c>
      <c r="P44" s="957" t="s">
        <v>774</v>
      </c>
      <c r="Q44" s="957" t="s">
        <v>2184</v>
      </c>
      <c r="R44" s="957" t="s">
        <v>774</v>
      </c>
      <c r="S44" s="957"/>
      <c r="T44" s="843" t="s">
        <v>2174</v>
      </c>
      <c r="U44" s="843" t="s">
        <v>2174</v>
      </c>
      <c r="V44" s="843" t="s">
        <v>2174</v>
      </c>
      <c r="W44" s="843" t="s">
        <v>2174</v>
      </c>
      <c r="X44" s="843"/>
      <c r="Y44" s="1000"/>
      <c r="Z44" s="846" t="s">
        <v>2185</v>
      </c>
      <c r="AA44" s="846" t="s">
        <v>2185</v>
      </c>
      <c r="AB44" s="846" t="s">
        <v>2185</v>
      </c>
      <c r="AC44" s="846" t="s">
        <v>2185</v>
      </c>
      <c r="AD44" s="846"/>
    </row>
    <row customHeight="1" ht="27">
      <c r="A45" s="845"/>
      <c r="B45" s="899">
        <v>28</v>
      </c>
      <c r="C45" s="843" t="s">
        <v>2186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2187</v>
      </c>
      <c r="P45" s="957" t="s">
        <v>777</v>
      </c>
      <c r="Q45" s="957" t="s">
        <v>2187</v>
      </c>
      <c r="R45" s="957" t="s">
        <v>777</v>
      </c>
      <c r="S45" s="957"/>
      <c r="T45" s="843" t="s">
        <v>2178</v>
      </c>
      <c r="U45" s="843" t="s">
        <v>2178</v>
      </c>
      <c r="V45" s="843" t="s">
        <v>2178</v>
      </c>
      <c r="W45" s="843" t="s">
        <v>2178</v>
      </c>
      <c r="X45" s="843"/>
      <c r="Y45" s="1000"/>
      <c r="Z45" s="846" t="s">
        <v>2188</v>
      </c>
      <c r="AA45" s="846" t="s">
        <v>2188</v>
      </c>
      <c r="AB45" s="846" t="s">
        <v>2188</v>
      </c>
      <c r="AC45" s="846" t="s">
        <v>2188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2189</v>
      </c>
      <c r="P46" s="957" t="s">
        <v>823</v>
      </c>
      <c r="Q46" s="957" t="s">
        <v>2189</v>
      </c>
      <c r="R46" s="957" t="s">
        <v>823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2190</v>
      </c>
      <c r="V46" s="843" t="s">
        <v>2190</v>
      </c>
      <c r="W46" s="843" t="s">
        <v>2190</v>
      </c>
      <c r="X46" s="843"/>
      <c r="Y46" s="1000"/>
      <c r="Z46" s="846" t="s">
        <v>2191</v>
      </c>
      <c r="AA46" s="846" t="s">
        <v>2192</v>
      </c>
      <c r="AB46" s="846" t="s">
        <v>2192</v>
      </c>
      <c r="AC46" s="846" t="s">
        <v>2192</v>
      </c>
      <c r="AD46" s="846"/>
    </row>
    <row customHeight="1" ht="54">
      <c r="A47" s="845"/>
      <c r="B47" s="899">
        <v>30</v>
      </c>
      <c r="C47" s="843" t="s">
        <v>2193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2194</v>
      </c>
      <c r="P47" s="957" t="s">
        <v>2173</v>
      </c>
      <c r="Q47" s="957" t="s">
        <v>2194</v>
      </c>
      <c r="R47" s="957" t="s">
        <v>2173</v>
      </c>
      <c r="S47" s="957"/>
      <c r="T47" s="843" t="s">
        <v>2195</v>
      </c>
      <c r="U47" s="843" t="s">
        <v>2195</v>
      </c>
      <c r="V47" s="843" t="s">
        <v>2195</v>
      </c>
      <c r="W47" s="843" t="s">
        <v>2195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2180</v>
      </c>
      <c r="Q48" s="957" t="s">
        <v>2196</v>
      </c>
      <c r="R48" s="957" t="s">
        <v>2180</v>
      </c>
      <c r="S48" s="957"/>
      <c r="T48" s="843"/>
      <c r="U48" s="843" t="s">
        <v>2197</v>
      </c>
      <c r="V48" s="843" t="s">
        <v>2198</v>
      </c>
      <c r="W48" s="843" t="s">
        <v>2198</v>
      </c>
      <c r="X48" s="843"/>
      <c r="Y48" s="1000"/>
      <c r="Z48" s="846"/>
      <c r="AA48" s="849" t="s">
        <v>2192</v>
      </c>
      <c r="AB48" s="849" t="s">
        <v>2192</v>
      </c>
      <c r="AC48" s="849" t="s">
        <v>2192</v>
      </c>
      <c r="AD48" s="846"/>
    </row>
    <row customHeight="1" ht="54">
      <c r="A49" s="845"/>
      <c r="B49" s="899">
        <v>32</v>
      </c>
      <c r="C49" s="843" t="s">
        <v>2199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2184</v>
      </c>
      <c r="Q49" s="957" t="s">
        <v>2200</v>
      </c>
      <c r="R49" s="957" t="s">
        <v>2184</v>
      </c>
      <c r="S49" s="957"/>
      <c r="T49" s="843"/>
      <c r="U49" s="843" t="s">
        <v>2195</v>
      </c>
      <c r="V49" s="843" t="s">
        <v>2195</v>
      </c>
      <c r="W49" s="843" t="s">
        <v>2195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2196</v>
      </c>
      <c r="P50" s="957" t="s">
        <v>2189</v>
      </c>
      <c r="Q50" s="957" t="s">
        <v>2201</v>
      </c>
      <c r="R50" s="957" t="s">
        <v>2189</v>
      </c>
      <c r="S50" s="957"/>
      <c r="T50" s="843" t="s">
        <v>2202</v>
      </c>
      <c r="U50" s="843" t="s">
        <v>2203</v>
      </c>
      <c r="V50" s="843" t="s">
        <v>2204</v>
      </c>
      <c r="W50" s="843" t="s">
        <v>2205</v>
      </c>
      <c r="X50" s="843"/>
      <c r="Y50" s="1000"/>
      <c r="Z50" s="846" t="s">
        <v>2206</v>
      </c>
      <c r="AA50" s="849" t="s">
        <v>2207</v>
      </c>
      <c r="AB50" s="849" t="s">
        <v>2207</v>
      </c>
      <c r="AC50" s="849" t="s">
        <v>2207</v>
      </c>
      <c r="AD50" s="846"/>
    </row>
    <row customHeight="1" ht="27">
      <c r="A51" s="845"/>
      <c r="B51" s="899">
        <v>34</v>
      </c>
      <c r="C51" s="843" t="s">
        <v>2208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2209</v>
      </c>
      <c r="U51" s="843"/>
      <c r="V51" s="843"/>
      <c r="W51" s="843"/>
      <c r="X51" s="843"/>
      <c r="Y51" s="1000"/>
      <c r="Z51" s="846"/>
      <c r="AA51" s="849"/>
      <c r="AB51" s="849"/>
      <c r="AC51" s="849"/>
      <c r="AD51" s="846"/>
    </row>
    <row customHeight="1" ht="36">
      <c r="A52" s="845"/>
      <c r="B52" s="899">
        <v>35</v>
      </c>
      <c r="C52" s="843" t="s">
        <v>2105</v>
      </c>
      <c r="D52" s="967" t="s">
        <v>2105</v>
      </c>
      <c r="E52" s="843" t="s">
        <v>2105</v>
      </c>
      <c r="F52" s="843" t="s">
        <v>2105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2210</v>
      </c>
      <c r="U52" s="843" t="s">
        <v>2211</v>
      </c>
      <c r="V52" s="843" t="s">
        <v>2212</v>
      </c>
      <c r="W52" s="843" t="s">
        <v>2213</v>
      </c>
      <c r="X52" s="843"/>
      <c r="Y52" s="1000"/>
      <c r="Z52" s="846" t="s">
        <v>781</v>
      </c>
      <c r="AA52" s="849" t="s">
        <v>781</v>
      </c>
      <c r="AB52" s="849" t="s">
        <v>781</v>
      </c>
      <c r="AC52" s="849" t="s">
        <v>781</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785</v>
      </c>
      <c r="P53" s="957" t="s">
        <v>329</v>
      </c>
      <c r="Q53" s="957" t="s">
        <v>329</v>
      </c>
      <c r="R53" s="957" t="s">
        <v>329</v>
      </c>
      <c r="S53" s="957"/>
      <c r="T53" s="843" t="s">
        <v>2214</v>
      </c>
      <c r="U53" s="843" t="s">
        <v>2214</v>
      </c>
      <c r="V53" s="843" t="s">
        <v>2214</v>
      </c>
      <c r="W53" s="843" t="s">
        <v>2214</v>
      </c>
      <c r="X53" s="843"/>
      <c r="Y53" s="1000"/>
      <c r="Z53" s="846"/>
      <c r="AA53" s="849"/>
      <c r="AB53" s="846"/>
      <c r="AC53" s="846"/>
      <c r="AD53" s="846"/>
    </row>
    <row customHeight="1" ht="18">
      <c r="A54" s="845"/>
      <c r="B54" s="899">
        <v>37</v>
      </c>
      <c r="C54" s="843" t="s">
        <v>2111</v>
      </c>
      <c r="D54" s="967" t="s">
        <v>2111</v>
      </c>
      <c r="E54" s="843" t="s">
        <v>2111</v>
      </c>
      <c r="F54" s="843" t="s">
        <v>2111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100</v>
      </c>
      <c r="P54" s="957" t="s">
        <v>92</v>
      </c>
      <c r="Q54" s="957" t="s">
        <v>92</v>
      </c>
      <c r="R54" s="957" t="s">
        <v>92</v>
      </c>
      <c r="S54" s="957"/>
      <c r="T54" s="843" t="s">
        <v>783</v>
      </c>
      <c r="U54" s="843" t="s">
        <v>783</v>
      </c>
      <c r="V54" s="843" t="s">
        <v>783</v>
      </c>
      <c r="W54" s="843" t="s">
        <v>783</v>
      </c>
      <c r="X54" s="843"/>
      <c r="Y54" s="1000"/>
      <c r="Z54" s="846" t="s">
        <v>784</v>
      </c>
      <c r="AA54" s="846" t="s">
        <v>784</v>
      </c>
      <c r="AB54" s="846" t="s">
        <v>784</v>
      </c>
      <c r="AC54" s="846" t="s">
        <v>784</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785</v>
      </c>
      <c r="Q55" s="957" t="s">
        <v>785</v>
      </c>
      <c r="R55" s="957" t="s">
        <v>785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2215</v>
      </c>
      <c r="V55" s="843" t="s">
        <v>2215</v>
      </c>
      <c r="W55" s="843" t="s">
        <v>2215</v>
      </c>
      <c r="X55" s="843"/>
      <c r="Y55" s="1000"/>
      <c r="Z55" s="846" t="s">
        <v>2216</v>
      </c>
      <c r="AA55" s="846" t="s">
        <v>2216</v>
      </c>
      <c r="AB55" s="846" t="s">
        <v>2216</v>
      </c>
      <c r="AC55" s="846" t="s">
        <v>2216</v>
      </c>
      <c r="AD55" s="846"/>
    </row>
    <row customHeight="1" ht="27">
      <c r="A56" s="845"/>
      <c r="B56" s="899">
        <v>39</v>
      </c>
      <c r="C56" s="843" t="s">
        <v>1103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1226</v>
      </c>
      <c r="P56" s="957" t="s">
        <v>788</v>
      </c>
      <c r="Q56" s="957" t="s">
        <v>788</v>
      </c>
      <c r="R56" s="957" t="s">
        <v>788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2217</v>
      </c>
      <c r="V56" s="843" t="s">
        <v>2217</v>
      </c>
      <c r="W56" s="843" t="s">
        <v>2217</v>
      </c>
      <c r="X56" s="843"/>
      <c r="Y56" s="1000"/>
      <c r="Z56" s="846" t="s">
        <v>790</v>
      </c>
      <c r="AA56" s="846" t="s">
        <v>790</v>
      </c>
      <c r="AB56" s="846" t="s">
        <v>790</v>
      </c>
      <c r="AC56" s="846" t="s">
        <v>790</v>
      </c>
      <c r="AD56" s="846"/>
    </row>
    <row customHeight="1" ht="27">
      <c r="A57" s="845"/>
      <c r="B57" s="899">
        <v>40</v>
      </c>
      <c r="C57" s="843" t="s">
        <v>1105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2218</v>
      </c>
      <c r="P57" s="957" t="s">
        <v>791</v>
      </c>
      <c r="Q57" s="957" t="s">
        <v>791</v>
      </c>
      <c r="R57" s="957" t="s">
        <v>791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2219</v>
      </c>
      <c r="V57" s="843" t="s">
        <v>2219</v>
      </c>
      <c r="W57" s="843" t="s">
        <v>2219</v>
      </c>
      <c r="X57" s="843"/>
      <c r="Y57" s="1000"/>
      <c r="Z57" s="846" t="s">
        <v>793</v>
      </c>
      <c r="AA57" s="846" t="s">
        <v>793</v>
      </c>
      <c r="AB57" s="846" t="s">
        <v>793</v>
      </c>
      <c r="AC57" s="846" t="s">
        <v>793</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927</v>
      </c>
      <c r="P58" s="957" t="s">
        <v>829</v>
      </c>
      <c r="Q58" s="957" t="s">
        <v>829</v>
      </c>
      <c r="R58" s="957" t="s">
        <v>829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2220</v>
      </c>
      <c r="V58" s="843" t="s">
        <v>2220</v>
      </c>
      <c r="W58" s="843" t="s">
        <v>2220</v>
      </c>
      <c r="X58" s="843"/>
      <c r="Y58" s="1000"/>
      <c r="Z58" s="846"/>
      <c r="AA58" s="849"/>
      <c r="AB58" s="846"/>
      <c r="AC58" s="846"/>
      <c r="AD58" s="846"/>
    </row>
    <row customHeight="1" ht="36">
      <c r="A59" s="845"/>
      <c r="B59" s="899">
        <v>42</v>
      </c>
      <c r="C59" s="843">
        <v>3</v>
      </c>
      <c r="D59" s="967" t="s">
        <v>2208</v>
      </c>
      <c r="E59" s="843" t="s">
        <v>2208</v>
      </c>
      <c r="F59" s="843" t="s">
        <v>2208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100</v>
      </c>
      <c r="Q59" s="957" t="s">
        <v>100</v>
      </c>
      <c r="R59" s="957" t="s">
        <v>100</v>
      </c>
      <c r="S59" s="957"/>
      <c r="T59" s="843"/>
      <c r="U59" s="843" t="s">
        <v>2221</v>
      </c>
      <c r="V59" s="843" t="s">
        <v>2222</v>
      </c>
      <c r="W59" s="843" t="s">
        <v>2223</v>
      </c>
      <c r="X59" s="843"/>
      <c r="Y59" s="1000"/>
      <c r="Z59" s="846"/>
      <c r="AA59" s="849"/>
      <c r="AB59" s="846"/>
      <c r="AC59" s="846"/>
      <c r="AD59" s="846"/>
    </row>
    <row customHeight="1" ht="81">
      <c r="A60" s="845"/>
      <c r="B60" s="899">
        <v>43</v>
      </c>
      <c r="C60" s="843" t="s">
        <v>2224</v>
      </c>
      <c r="D60" s="967" t="s">
        <v>2224</v>
      </c>
      <c r="E60" s="843" t="s">
        <v>2224</v>
      </c>
      <c r="F60" s="843" t="s">
        <v>2224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655</v>
      </c>
      <c r="U60" s="843" t="s">
        <v>655</v>
      </c>
      <c r="V60" s="843" t="s">
        <v>655</v>
      </c>
      <c r="W60" s="843" t="s">
        <v>655</v>
      </c>
      <c r="X60" s="843"/>
      <c r="Y60" s="1000"/>
      <c r="Z60" s="846" t="s">
        <v>2225</v>
      </c>
      <c r="AA60" s="849" t="s">
        <v>2226</v>
      </c>
      <c r="AB60" s="846" t="s">
        <v>2227</v>
      </c>
      <c r="AC60" s="846" t="s">
        <v>2226</v>
      </c>
      <c r="AD60" s="846"/>
    </row>
    <row customHeight="1" ht="9">
      <c r="A61" s="845"/>
      <c r="B61" s="899">
        <v>44</v>
      </c>
      <c r="C61" s="843"/>
      <c r="D61" s="967" t="s">
        <v>2228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2229</v>
      </c>
      <c r="V61" s="843"/>
      <c r="W61" s="843"/>
      <c r="X61" s="843"/>
      <c r="Y61" s="1000"/>
      <c r="Z61" s="846"/>
      <c r="AA61" s="849"/>
      <c r="AB61" s="846"/>
      <c r="AC61" s="846"/>
      <c r="AD61" s="846"/>
    </row>
    <row customHeight="1" ht="9">
      <c r="A62" s="845"/>
      <c r="B62" s="899">
        <v>45</v>
      </c>
      <c r="C62" s="843"/>
      <c r="D62" s="967" t="s">
        <v>2230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2231</v>
      </c>
      <c r="V62" s="843"/>
      <c r="W62" s="843"/>
      <c r="X62" s="843"/>
      <c r="Y62" s="1000"/>
      <c r="Z62" s="846"/>
      <c r="AA62" s="849"/>
      <c r="AB62" s="846"/>
      <c r="AC62" s="846"/>
      <c r="AD62" s="846"/>
    </row>
    <row customHeight="1" ht="18">
      <c r="A63" s="845"/>
      <c r="B63" s="899">
        <v>46</v>
      </c>
      <c r="C63" s="843"/>
      <c r="D63" s="967" t="s">
        <v>2232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155</v>
      </c>
      <c r="Q63" s="957"/>
      <c r="R63" s="957"/>
      <c r="S63" s="957"/>
      <c r="T63" s="843"/>
      <c r="U63" s="843" t="s">
        <v>2233</v>
      </c>
      <c r="V63" s="843"/>
      <c r="W63" s="843"/>
      <c r="X63" s="843"/>
      <c r="Y63" s="1000"/>
      <c r="Z63" s="846"/>
      <c r="AA63" s="849"/>
      <c r="AB63" s="846"/>
      <c r="AC63" s="846"/>
      <c r="AD63" s="846"/>
    </row>
    <row customHeight="1" ht="18">
      <c r="A64" s="845"/>
      <c r="B64" s="899">
        <v>47</v>
      </c>
      <c r="C64" s="843"/>
      <c r="D64" s="967" t="s">
        <v>2234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156</v>
      </c>
      <c r="Q64" s="957"/>
      <c r="R64" s="957"/>
      <c r="S64" s="957"/>
      <c r="T64" s="843"/>
      <c r="U64" s="843" t="s">
        <v>2235</v>
      </c>
      <c r="V64" s="843"/>
      <c r="W64" s="843"/>
      <c r="X64" s="843"/>
      <c r="Y64" s="1000"/>
      <c r="Z64" s="846"/>
      <c r="AA64" s="849" t="s">
        <v>2236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2152</v>
      </c>
      <c r="Q65" s="957"/>
      <c r="R65" s="957"/>
      <c r="S65" s="957"/>
      <c r="T65" s="843"/>
      <c r="U65" s="843" t="s">
        <v>2237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2156</v>
      </c>
      <c r="Q66" s="957"/>
      <c r="R66" s="957"/>
      <c r="S66" s="957"/>
      <c r="T66" s="843"/>
      <c r="U66" s="843" t="s">
        <v>2238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2239</v>
      </c>
      <c r="Q67" s="957"/>
      <c r="R67" s="957"/>
      <c r="S67" s="957"/>
      <c r="T67" s="843"/>
      <c r="U67" s="843" t="s">
        <v>2240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2241</v>
      </c>
      <c r="Q68" s="957"/>
      <c r="R68" s="957"/>
      <c r="S68" s="957"/>
      <c r="T68" s="843"/>
      <c r="U68" s="843" t="s">
        <v>2242</v>
      </c>
      <c r="V68" s="843"/>
      <c r="W68" s="843"/>
      <c r="X68" s="843"/>
      <c r="Y68" s="1000"/>
      <c r="Z68" s="846"/>
      <c r="AA68" s="849"/>
      <c r="AB68" s="846"/>
      <c r="AC68" s="846"/>
      <c r="AD68" s="846"/>
    </row>
    <row customHeight="1" ht="9">
      <c r="A69" s="845"/>
      <c r="B69" s="899">
        <v>52</v>
      </c>
      <c r="C69" s="843"/>
      <c r="D69" s="967" t="s">
        <v>2243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157</v>
      </c>
      <c r="Q69" s="957"/>
      <c r="R69" s="957"/>
      <c r="S69" s="957"/>
      <c r="T69" s="843"/>
      <c r="U69" s="843" t="s">
        <v>2244</v>
      </c>
      <c r="V69" s="843"/>
      <c r="W69" s="843"/>
      <c r="X69" s="843"/>
      <c r="Y69" s="1000"/>
      <c r="Z69" s="846"/>
      <c r="AA69" s="849"/>
      <c r="AB69" s="846"/>
      <c r="AC69" s="846"/>
      <c r="AD69" s="846"/>
    </row>
    <row customHeight="1" ht="27">
      <c r="A70" s="845"/>
      <c r="B70" s="899">
        <v>53</v>
      </c>
      <c r="C70" s="843"/>
      <c r="D70" s="967"/>
      <c r="E70" s="843" t="s">
        <v>2228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2245</v>
      </c>
      <c r="W70" s="843"/>
      <c r="X70" s="843"/>
      <c r="Y70" s="1000"/>
      <c r="Z70" s="846"/>
      <c r="AA70" s="849"/>
      <c r="AB70" s="846"/>
      <c r="AC70" s="846"/>
      <c r="AD70" s="846"/>
    </row>
    <row customHeight="1" ht="36">
      <c r="A71" s="845"/>
      <c r="B71" s="899">
        <v>54</v>
      </c>
      <c r="C71" s="843"/>
      <c r="D71" s="967"/>
      <c r="E71" s="843" t="s">
        <v>2230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2246</v>
      </c>
      <c r="W71" s="843"/>
      <c r="X71" s="843"/>
      <c r="Y71" s="1000"/>
      <c r="Z71" s="846"/>
      <c r="AA71" s="849"/>
      <c r="AB71" s="846"/>
      <c r="AC71" s="846"/>
      <c r="AD71" s="846"/>
    </row>
    <row customHeight="1" ht="27">
      <c r="A72" s="845"/>
      <c r="B72" s="899">
        <v>55</v>
      </c>
      <c r="C72" s="843"/>
      <c r="D72" s="967"/>
      <c r="E72" s="843" t="s">
        <v>2232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155</v>
      </c>
      <c r="R72" s="957"/>
      <c r="S72" s="957"/>
      <c r="T72" s="843"/>
      <c r="U72" s="843"/>
      <c r="V72" s="843" t="s">
        <v>2247</v>
      </c>
      <c r="W72" s="843"/>
      <c r="X72" s="843"/>
      <c r="Y72" s="1000"/>
      <c r="Z72" s="846"/>
      <c r="AA72" s="849"/>
      <c r="AB72" s="846"/>
      <c r="AC72" s="846"/>
      <c r="AD72" s="846"/>
    </row>
    <row customHeight="1" ht="36">
      <c r="A73" s="845"/>
      <c r="B73" s="899">
        <v>56</v>
      </c>
      <c r="C73" s="843"/>
      <c r="D73" s="967"/>
      <c r="E73" s="843" t="s">
        <v>2234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156</v>
      </c>
      <c r="R73" s="957"/>
      <c r="S73" s="957"/>
      <c r="T73" s="843"/>
      <c r="U73" s="843"/>
      <c r="V73" s="843" t="s">
        <v>2248</v>
      </c>
      <c r="W73" s="843"/>
      <c r="X73" s="843"/>
      <c r="Y73" s="1000"/>
      <c r="Z73" s="846"/>
      <c r="AA73" s="849"/>
      <c r="AB73" s="846"/>
      <c r="AC73" s="846"/>
      <c r="AD73" s="846"/>
    </row>
    <row customHeight="1" ht="18">
      <c r="A74" s="845"/>
      <c r="B74" s="899">
        <v>57</v>
      </c>
      <c r="C74" s="843"/>
      <c r="D74" s="967"/>
      <c r="E74" s="843" t="s">
        <v>2243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157</v>
      </c>
      <c r="R74" s="957"/>
      <c r="S74" s="957"/>
      <c r="T74" s="843"/>
      <c r="U74" s="843"/>
      <c r="V74" s="843" t="s">
        <v>2249</v>
      </c>
      <c r="W74" s="843"/>
      <c r="X74" s="843"/>
      <c r="Y74" s="1000"/>
      <c r="Z74" s="846"/>
      <c r="AA74" s="849"/>
      <c r="AB74" s="846"/>
      <c r="AC74" s="846"/>
      <c r="AD74" s="846"/>
    </row>
    <row customHeight="1" ht="18">
      <c r="A75" s="845"/>
      <c r="B75" s="899">
        <v>58</v>
      </c>
      <c r="C75" s="843"/>
      <c r="D75" s="967"/>
      <c r="E75" s="843"/>
      <c r="F75" s="843" t="s">
        <v>2228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2250</v>
      </c>
      <c r="X75" s="843"/>
      <c r="Y75" s="1000"/>
      <c r="Z75" s="846"/>
      <c r="AA75" s="849"/>
      <c r="AB75" s="846"/>
      <c r="AC75" s="846"/>
      <c r="AD75" s="846"/>
    </row>
    <row customHeight="1" ht="36">
      <c r="A76" s="845"/>
      <c r="B76" s="899">
        <v>59</v>
      </c>
      <c r="C76" s="843"/>
      <c r="D76" s="967"/>
      <c r="E76" s="843"/>
      <c r="F76" s="843" t="s">
        <v>2230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2251</v>
      </c>
      <c r="X76" s="843"/>
      <c r="Y76" s="1000"/>
      <c r="Z76" s="846"/>
      <c r="AA76" s="849"/>
      <c r="AB76" s="846"/>
      <c r="AC76" s="846"/>
      <c r="AD76" s="846"/>
    </row>
    <row customHeight="1" ht="18">
      <c r="A77" s="845"/>
      <c r="B77" s="899">
        <v>60</v>
      </c>
      <c r="C77" s="843"/>
      <c r="D77" s="967"/>
      <c r="E77" s="843"/>
      <c r="F77" s="843" t="s">
        <v>2232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155</v>
      </c>
      <c r="S77" s="957"/>
      <c r="T77" s="843"/>
      <c r="U77" s="843"/>
      <c r="V77" s="843"/>
      <c r="W77" s="843" t="s">
        <v>2252</v>
      </c>
      <c r="X77" s="843"/>
      <c r="Y77" s="1000"/>
      <c r="Z77" s="846"/>
      <c r="AA77" s="849"/>
      <c r="AB77" s="846"/>
      <c r="AC77" s="846"/>
      <c r="AD77" s="846"/>
    </row>
    <row customHeight="1" ht="72">
      <c r="A78" s="845"/>
      <c r="B78" s="899">
        <v>61</v>
      </c>
      <c r="C78" s="843" t="s">
        <v>2228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660</v>
      </c>
      <c r="U78" s="843"/>
      <c r="V78" s="843"/>
      <c r="W78" s="843"/>
      <c r="X78" s="843"/>
      <c r="Y78" s="1000"/>
      <c r="Z78" s="846" t="s">
        <v>2253</v>
      </c>
      <c r="AA78" s="849"/>
      <c r="AB78" s="846"/>
      <c r="AC78" s="846"/>
      <c r="AD78" s="846"/>
    </row>
    <row customHeight="1" ht="36">
      <c r="A79" s="845"/>
      <c r="B79" s="899">
        <v>62</v>
      </c>
      <c r="C79" s="843" t="s">
        <v>2230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2254</v>
      </c>
      <c r="U79" s="843"/>
      <c r="V79" s="843"/>
      <c r="W79" s="843"/>
      <c r="X79" s="843"/>
      <c r="Y79" s="1000"/>
      <c r="Z79" s="846" t="s">
        <v>2255</v>
      </c>
      <c r="AA79" s="849"/>
      <c r="AB79" s="846"/>
      <c r="AC79" s="846"/>
      <c r="AD79" s="846"/>
    </row>
    <row customHeight="1" ht="45">
      <c r="A80" s="845"/>
      <c r="B80" s="899">
        <v>63</v>
      </c>
      <c r="C80" s="843" t="s">
        <v>2232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155</v>
      </c>
      <c r="P80" s="957"/>
      <c r="Q80" s="957"/>
      <c r="R80" s="957"/>
      <c r="S80" s="957"/>
      <c r="T80" s="843" t="s">
        <v>2256</v>
      </c>
      <c r="U80" s="843"/>
      <c r="V80" s="843"/>
      <c r="W80" s="843"/>
      <c r="X80" s="843"/>
      <c r="Y80" s="1000"/>
      <c r="Z80" s="846" t="s">
        <v>2257</v>
      </c>
      <c r="AA80" s="849"/>
      <c r="AB80" s="846"/>
      <c r="AC80" s="846"/>
      <c r="AD80" s="846"/>
    </row>
    <row customHeight="1" ht="36">
      <c r="A81" s="845"/>
      <c r="B81" s="899">
        <v>64</v>
      </c>
      <c r="C81" s="843" t="s">
        <v>2234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2143</v>
      </c>
      <c r="P81" s="957"/>
      <c r="Q81" s="957"/>
      <c r="R81" s="957"/>
      <c r="S81" s="957"/>
      <c r="T81" s="843" t="s">
        <v>2258</v>
      </c>
      <c r="U81" s="843"/>
      <c r="V81" s="843"/>
      <c r="W81" s="843"/>
      <c r="X81" s="843"/>
      <c r="Y81" s="1000"/>
      <c r="Z81" s="846" t="s">
        <v>2259</v>
      </c>
      <c r="AA81" s="849"/>
      <c r="AB81" s="846"/>
      <c r="AC81" s="846"/>
      <c r="AD81" s="846"/>
    </row>
    <row customHeight="1" ht="90">
      <c r="A82" s="845"/>
      <c r="B82" s="899">
        <v>65</v>
      </c>
      <c r="C82" s="843" t="s">
        <v>2243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156</v>
      </c>
      <c r="P82" s="957"/>
      <c r="Q82" s="957"/>
      <c r="R82" s="957"/>
      <c r="S82" s="957"/>
      <c r="T82" s="843" t="s">
        <v>2260</v>
      </c>
      <c r="U82" s="843"/>
      <c r="V82" s="843"/>
      <c r="W82" s="843"/>
      <c r="X82" s="843"/>
      <c r="Y82" s="1000"/>
      <c r="Z82" s="846" t="s">
        <v>2261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2152</v>
      </c>
      <c r="P83" s="957"/>
      <c r="Q83" s="957"/>
      <c r="R83" s="957"/>
      <c r="S83" s="957"/>
      <c r="T83" s="843" t="s">
        <v>2262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2263</v>
      </c>
      <c r="P84" s="957"/>
      <c r="Q84" s="957"/>
      <c r="R84" s="957"/>
      <c r="S84" s="957"/>
      <c r="T84" s="843" t="s">
        <v>2264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2156</v>
      </c>
      <c r="P85" s="957"/>
      <c r="Q85" s="957"/>
      <c r="R85" s="957"/>
      <c r="S85" s="957"/>
      <c r="T85" s="843" t="s">
        <v>2265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2266</v>
      </c>
      <c r="P86" s="957"/>
      <c r="Q86" s="957"/>
      <c r="R86" s="957"/>
      <c r="S86" s="957"/>
      <c r="T86" s="843" t="s">
        <v>2267</v>
      </c>
      <c r="U86" s="843"/>
      <c r="V86" s="843"/>
      <c r="W86" s="843"/>
      <c r="X86" s="843"/>
      <c r="Y86" s="1000"/>
      <c r="Z86" s="846"/>
      <c r="AA86" s="849"/>
      <c r="AB86" s="846"/>
      <c r="AC86" s="846"/>
      <c r="AD86" s="846"/>
    </row>
    <row customHeight="1" ht="36">
      <c r="A87" s="845"/>
      <c r="B87" s="899">
        <v>70</v>
      </c>
      <c r="C87" s="843" t="s">
        <v>2268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157</v>
      </c>
      <c r="P87" s="957"/>
      <c r="Q87" s="957"/>
      <c r="R87" s="957"/>
      <c r="S87" s="957"/>
      <c r="T87" s="843" t="s">
        <v>2269</v>
      </c>
      <c r="U87" s="843"/>
      <c r="V87" s="843"/>
      <c r="W87" s="843"/>
      <c r="X87" s="843"/>
      <c r="Y87" s="1000"/>
      <c r="Z87" s="846"/>
      <c r="AA87" s="849"/>
      <c r="AB87" s="846"/>
      <c r="AC87" s="846"/>
      <c r="AD87" s="846"/>
    </row>
    <row customHeight="1" ht="18">
      <c r="A88" s="845"/>
      <c r="B88" s="899">
        <v>71</v>
      </c>
      <c r="C88" s="843" t="s">
        <v>2270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158</v>
      </c>
      <c r="P88" s="957"/>
      <c r="Q88" s="957"/>
      <c r="R88" s="957"/>
      <c r="S88" s="957"/>
      <c r="T88" s="843" t="s">
        <v>692</v>
      </c>
      <c r="U88" s="843"/>
      <c r="V88" s="843"/>
      <c r="W88" s="843"/>
      <c r="X88" s="843"/>
      <c r="Y88" s="1000"/>
      <c r="Z88" s="846"/>
      <c r="AA88" s="849"/>
      <c r="AB88" s="846"/>
      <c r="AC88" s="846"/>
      <c r="AD88" s="846"/>
    </row>
    <row customHeight="1" ht="18">
      <c r="A89" s="845"/>
      <c r="B89" s="899">
        <v>72</v>
      </c>
      <c r="C89" s="843" t="s">
        <v>2271</v>
      </c>
      <c r="D89" s="967" t="s">
        <v>2268</v>
      </c>
      <c r="E89" s="843" t="s">
        <v>2268</v>
      </c>
      <c r="F89" s="843" t="s">
        <v>2234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159</v>
      </c>
      <c r="P89" s="957" t="s">
        <v>158</v>
      </c>
      <c r="Q89" s="957" t="s">
        <v>158</v>
      </c>
      <c r="R89" s="957" t="s">
        <v>156</v>
      </c>
      <c r="S89" s="957"/>
      <c r="T89" s="843" t="s">
        <v>700</v>
      </c>
      <c r="U89" s="843" t="s">
        <v>700</v>
      </c>
      <c r="V89" s="843" t="s">
        <v>700</v>
      </c>
      <c r="W89" s="843" t="s">
        <v>700</v>
      </c>
      <c r="X89" s="843"/>
      <c r="Y89" s="1000"/>
      <c r="Z89" s="846"/>
      <c r="AA89" s="849"/>
      <c r="AB89" s="846"/>
      <c r="AC89" s="846"/>
      <c r="AD89" s="846"/>
    </row>
    <row customHeight="1" ht="27">
      <c r="A90" s="845"/>
      <c r="B90" s="899">
        <v>73</v>
      </c>
      <c r="C90" s="843" t="s">
        <v>2272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160</v>
      </c>
      <c r="P90" s="957"/>
      <c r="Q90" s="957"/>
      <c r="R90" s="957"/>
      <c r="S90" s="957"/>
      <c r="T90" s="843" t="s">
        <v>702</v>
      </c>
      <c r="U90" s="843"/>
      <c r="V90" s="843"/>
      <c r="W90" s="843"/>
      <c r="X90" s="843"/>
      <c r="Y90" s="1000"/>
      <c r="Z90" s="846"/>
      <c r="AA90" s="849"/>
      <c r="AB90" s="846"/>
      <c r="AC90" s="846"/>
      <c r="AD90" s="846"/>
    </row>
    <row customHeight="1" ht="18">
      <c r="A91" s="845"/>
      <c r="B91" s="899">
        <v>74</v>
      </c>
      <c r="C91" s="843"/>
      <c r="D91" s="967" t="s">
        <v>2270</v>
      </c>
      <c r="E91" s="843" t="s">
        <v>2270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159</v>
      </c>
      <c r="Q91" s="957" t="s">
        <v>159</v>
      </c>
      <c r="R91" s="957"/>
      <c r="S91" s="957"/>
      <c r="T91" s="843"/>
      <c r="U91" s="843" t="s">
        <v>2273</v>
      </c>
      <c r="V91" s="843" t="s">
        <v>2273</v>
      </c>
      <c r="W91" s="843"/>
      <c r="X91" s="843"/>
      <c r="Y91" s="1000"/>
      <c r="Z91" s="846"/>
      <c r="AA91" s="849"/>
      <c r="AB91" s="846"/>
      <c r="AC91" s="846"/>
      <c r="AD91" s="846"/>
    </row>
    <row customHeight="1" ht="27">
      <c r="A92" s="845"/>
      <c r="B92" s="899">
        <v>75</v>
      </c>
      <c r="C92" s="843"/>
      <c r="D92" s="967" t="s">
        <v>2271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160</v>
      </c>
      <c r="Q92" s="957"/>
      <c r="R92" s="957"/>
      <c r="S92" s="957"/>
      <c r="T92" s="843"/>
      <c r="U92" s="843" t="s">
        <v>2274</v>
      </c>
      <c r="V92" s="843"/>
      <c r="W92" s="843"/>
      <c r="X92" s="843"/>
      <c r="Y92" s="1000"/>
      <c r="Z92" s="846"/>
      <c r="AA92" s="849" t="s">
        <v>2275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2183</v>
      </c>
      <c r="Q93" s="957"/>
      <c r="R93" s="957"/>
      <c r="S93" s="957"/>
      <c r="T93" s="843"/>
      <c r="U93" s="843" t="s">
        <v>2276</v>
      </c>
      <c r="V93" s="843"/>
      <c r="W93" s="843"/>
      <c r="X93" s="843"/>
      <c r="Y93" s="1000"/>
      <c r="Z93" s="846"/>
      <c r="AA93" s="849" t="s">
        <v>2277</v>
      </c>
      <c r="AB93" s="846"/>
      <c r="AC93" s="846"/>
      <c r="AD93" s="846"/>
    </row>
    <row customHeight="1" ht="45">
      <c r="A94" s="845"/>
      <c r="B94" s="899">
        <v>77</v>
      </c>
      <c r="C94" s="843"/>
      <c r="D94" s="967" t="s">
        <v>2272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1545</v>
      </c>
      <c r="Q94" s="957"/>
      <c r="R94" s="957"/>
      <c r="S94" s="957"/>
      <c r="T94" s="843"/>
      <c r="U94" s="843" t="s">
        <v>2278</v>
      </c>
      <c r="V94" s="843"/>
      <c r="W94" s="843"/>
      <c r="X94" s="843"/>
      <c r="Y94" s="1000"/>
      <c r="Z94" s="846"/>
      <c r="AA94" s="849" t="s">
        <v>2279</v>
      </c>
      <c r="AB94" s="846"/>
      <c r="AC94" s="846"/>
      <c r="AD94" s="846"/>
    </row>
    <row customHeight="1" ht="99">
      <c r="A95" s="845"/>
      <c r="B95" s="899">
        <v>78</v>
      </c>
      <c r="C95" s="843" t="s">
        <v>2280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1545</v>
      </c>
      <c r="P95" s="957"/>
      <c r="Q95" s="957"/>
      <c r="R95" s="957"/>
      <c r="S95" s="957"/>
      <c r="T95" s="843" t="s">
        <v>2281</v>
      </c>
      <c r="U95" s="843"/>
      <c r="V95" s="843"/>
      <c r="W95" s="843"/>
      <c r="X95" s="843"/>
      <c r="Y95" s="1000"/>
      <c r="Z95" s="846"/>
      <c r="AA95" s="849"/>
      <c r="AB95" s="846"/>
      <c r="AC95" s="846"/>
      <c r="AD95" s="846"/>
    </row>
    <row customHeight="1" ht="99">
      <c r="A96" s="845"/>
      <c r="B96" s="899">
        <v>79</v>
      </c>
      <c r="C96" s="843" t="s">
        <v>1235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1551</v>
      </c>
      <c r="P96" s="957"/>
      <c r="Q96" s="957"/>
      <c r="R96" s="957"/>
      <c r="S96" s="957"/>
      <c r="T96" s="843" t="s">
        <v>2282</v>
      </c>
      <c r="U96" s="843"/>
      <c r="V96" s="843"/>
      <c r="W96" s="843"/>
      <c r="X96" s="843"/>
      <c r="Y96" s="1000"/>
      <c r="Z96" s="846" t="s">
        <v>2283</v>
      </c>
      <c r="AA96" s="849"/>
      <c r="AB96" s="846"/>
      <c r="AC96" s="846"/>
      <c r="AD96" s="846"/>
    </row>
    <row customHeight="1" ht="63">
      <c r="A97" s="845"/>
      <c r="B97" s="899">
        <v>80</v>
      </c>
      <c r="C97" s="843" t="s">
        <v>2284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1563</v>
      </c>
      <c r="P97" s="957"/>
      <c r="Q97" s="957"/>
      <c r="R97" s="957"/>
      <c r="S97" s="957"/>
      <c r="T97" s="843" t="s">
        <v>2285</v>
      </c>
      <c r="U97" s="843"/>
      <c r="V97" s="843"/>
      <c r="W97" s="843"/>
      <c r="X97" s="843"/>
      <c r="Y97" s="1000"/>
      <c r="Z97" s="846" t="s">
        <v>2286</v>
      </c>
      <c r="AA97" s="849"/>
      <c r="AB97" s="846"/>
      <c r="AC97" s="846"/>
      <c r="AD97" s="846"/>
    </row>
    <row customHeight="1" ht="63">
      <c r="A98" s="845"/>
      <c r="B98" s="899">
        <v>81</v>
      </c>
      <c r="C98" s="843" t="s">
        <v>2287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1577</v>
      </c>
      <c r="P98" s="957"/>
      <c r="Q98" s="957"/>
      <c r="R98" s="957"/>
      <c r="S98" s="957"/>
      <c r="T98" s="843" t="s">
        <v>2288</v>
      </c>
      <c r="U98" s="843"/>
      <c r="V98" s="843"/>
      <c r="W98" s="843"/>
      <c r="X98" s="843"/>
      <c r="Y98" s="1000"/>
      <c r="Z98" s="846" t="s">
        <v>2286</v>
      </c>
      <c r="AA98" s="849"/>
      <c r="AB98" s="846"/>
      <c r="AC98" s="846"/>
      <c r="AD98" s="846"/>
    </row>
    <row customHeight="1" ht="90">
      <c r="A99" s="845"/>
      <c r="B99" s="899">
        <v>82</v>
      </c>
      <c r="C99" s="843" t="s">
        <v>2289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1589</v>
      </c>
      <c r="P99" s="957"/>
      <c r="Q99" s="957"/>
      <c r="R99" s="957"/>
      <c r="S99" s="957"/>
      <c r="T99" s="843" t="s">
        <v>2290</v>
      </c>
      <c r="U99" s="843"/>
      <c r="V99" s="843"/>
      <c r="W99" s="843"/>
      <c r="X99" s="843"/>
      <c r="Y99" s="1000"/>
      <c r="Z99" s="846" t="s">
        <v>657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2291</v>
      </c>
      <c r="P100" s="957"/>
      <c r="Q100" s="957"/>
      <c r="R100" s="957"/>
      <c r="S100" s="957"/>
      <c r="T100" s="843" t="s">
        <v>2292</v>
      </c>
      <c r="U100" s="843"/>
      <c r="V100" s="843"/>
      <c r="W100" s="843"/>
      <c r="X100" s="843"/>
      <c r="Y100" s="1000"/>
      <c r="Z100" s="846" t="s">
        <v>657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2293</v>
      </c>
      <c r="P101" s="957"/>
      <c r="Q101" s="957"/>
      <c r="R101" s="957"/>
      <c r="S101" s="957"/>
      <c r="T101" s="843" t="s">
        <v>2294</v>
      </c>
      <c r="U101" s="843"/>
      <c r="V101" s="843"/>
      <c r="W101" s="843"/>
      <c r="X101" s="843"/>
      <c r="Y101" s="1000"/>
      <c r="Z101" s="846" t="s">
        <v>657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1741</v>
      </c>
      <c r="B148" s="845"/>
      <c r="C148" s="843" t="s">
        <v>2295</v>
      </c>
      <c r="D148" s="843" t="s">
        <v>1644</v>
      </c>
      <c r="E148" s="843" t="s">
        <v>1743</v>
      </c>
      <c r="F148" s="843" t="s">
        <v>2296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2297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2298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1745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1748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1753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4B805-6578-1448-96C8-BC8D2540923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6" width="3.00390625" customWidth="1"/>
    <col min="10" max="11" style="344" width="3.00390625" customWidth="1"/>
    <col min="12" max="12" style="2426"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2" t="s">
        <v>2299</v>
      </c>
      <c r="M5" s="2622"/>
      <c r="N5" s="2622"/>
      <c r="O5" s="2622"/>
      <c r="P5" s="2622"/>
      <c r="Q5" s="2622"/>
      <c r="R5" s="2622"/>
      <c r="S5" s="2622"/>
      <c r="T5" s="2622"/>
      <c r="U5" s="2622"/>
      <c r="V5" s="1243"/>
      <c r="AD5" s="1155">
        <v>64</v>
      </c>
    </row>
    <row customHeight="1" ht="14.699999999999998">
      <c r="J6" s="376"/>
      <c r="K6" s="376"/>
      <c r="L6" s="2623" t="str">
        <f>IF(org=0,"Не определено",org)</f>
        <v>Муниципальное унитарное предприятие "Невельские коммунальные сети"</v>
      </c>
      <c r="M6" s="2623"/>
      <c r="N6" s="2623"/>
      <c r="O6" s="2623"/>
      <c r="P6" s="2623"/>
      <c r="Q6" s="2623"/>
      <c r="R6" s="2623"/>
      <c r="S6" s="2623"/>
      <c r="T6" s="2623"/>
      <c r="U6" s="2623"/>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70" t="str">
        <f>IF(TITLE_NAME_OR_PR_CHANGE="",IF(TITLE_NAME_OR_PR="","",TITLE_NAME_OR_PR),TITLE_NAME_OR_PR_CHANGE)</f>
        <v/>
      </c>
      <c r="P8" s="2270"/>
      <c r="Q8" s="2270"/>
      <c r="R8" s="2270"/>
      <c r="S8" s="2270"/>
      <c r="T8" s="2270"/>
      <c r="U8" s="2270"/>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508</v>
      </c>
      <c r="N9" s="304"/>
      <c r="O9" s="2270" t="str">
        <f>IF(TITLE_DATE_CHANGE_PERIOD="",IF(TITLE_DATE_PR="","",TITLE_DATE_PR),TITLE_DATE_CHANGE_PERIOD)</f>
        <v/>
      </c>
      <c r="P9" s="2270"/>
      <c r="Q9" s="2270"/>
      <c r="R9" s="2270"/>
      <c r="S9" s="2270"/>
      <c r="T9" s="2270"/>
      <c r="U9" s="2270"/>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509</v>
      </c>
      <c r="N10" s="304"/>
      <c r="O10" s="2270" t="str">
        <f>IF(TITLE_NUMBER_PR_CHANGE="",IF(TITLE_NUMBER_PR="","",TITLE_NUMBER_PR),TITLE_NUMBER_PR_CHANGE)</f>
        <v/>
      </c>
      <c r="P10" s="2270"/>
      <c r="Q10" s="2270"/>
      <c r="R10" s="2270"/>
      <c r="S10" s="2270"/>
      <c r="T10" s="2270"/>
      <c r="U10" s="2270"/>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70" t="str">
        <f>IF(TITLE_IST_PUB_CHANGE="",IF(TITLE_IST_PUB="","",TITLE_IST_PUB),TITLE_IST_PUB_CHANGE)</f>
        <v/>
      </c>
      <c r="P11" s="2270"/>
      <c r="Q11" s="2270"/>
      <c r="R11" s="2270"/>
      <c r="S11" s="2270"/>
      <c r="T11" s="2270"/>
      <c r="U11" s="2270"/>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4"/>
      <c r="M12" s="2624"/>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71"/>
      <c r="P13" s="2271"/>
      <c r="Q13" s="2271"/>
      <c r="R13" s="2271"/>
      <c r="S13" s="2271"/>
      <c r="T13" s="2271"/>
      <c r="U13" s="2271"/>
      <c r="V13" s="2271"/>
      <c r="AD13" s="1155">
        <v>14</v>
      </c>
    </row>
    <row customHeight="1" ht="14.699999999999998">
      <c r="J14" s="376"/>
      <c r="K14" s="376"/>
      <c r="L14" s="2146" t="s">
        <v>305</v>
      </c>
      <c r="M14" s="2146"/>
      <c r="N14" s="2146"/>
      <c r="O14" s="2146"/>
      <c r="P14" s="2146"/>
      <c r="Q14" s="2146"/>
      <c r="R14" s="2146"/>
      <c r="S14" s="2146"/>
      <c r="T14" s="2146"/>
      <c r="U14" s="2146"/>
      <c r="V14" s="2146"/>
      <c r="W14" s="2146"/>
      <c r="X14" s="2146" t="s">
        <v>306</v>
      </c>
      <c r="AD14" s="1155">
        <v>14</v>
      </c>
    </row>
    <row customHeight="1" ht="14.699999999999998">
      <c r="J15" s="376"/>
      <c r="K15" s="376"/>
      <c r="L15" s="2292" t="s">
        <v>89</v>
      </c>
      <c r="M15" s="2228" t="s">
        <v>429</v>
      </c>
      <c r="N15" s="301"/>
      <c r="O15" s="2293" t="s">
        <v>2300</v>
      </c>
      <c r="P15" s="2294"/>
      <c r="Q15" s="2294"/>
      <c r="R15" s="2294"/>
      <c r="S15" s="2294"/>
      <c r="T15" s="2294"/>
      <c r="U15" s="2295"/>
      <c r="V15" s="2296" t="s">
        <v>431</v>
      </c>
      <c r="W15" s="2299" t="s">
        <v>1232</v>
      </c>
      <c r="X15" s="2146"/>
      <c r="AD15" s="1155">
        <v>14</v>
      </c>
    </row>
    <row customHeight="1" ht="35.699999999999996">
      <c r="J16" s="376"/>
      <c r="K16" s="376"/>
      <c r="L16" s="2292"/>
      <c r="M16" s="2228"/>
      <c r="N16" s="1031"/>
      <c r="O16" s="2279" t="s">
        <v>434</v>
      </c>
      <c r="P16" s="2279" t="s">
        <v>435</v>
      </c>
      <c r="Q16" s="2281" t="s">
        <v>436</v>
      </c>
      <c r="R16" s="2282"/>
      <c r="S16" s="2281" t="s">
        <v>450</v>
      </c>
      <c r="T16" s="2288"/>
      <c r="U16" s="2282"/>
      <c r="V16" s="2297"/>
      <c r="W16" s="2300"/>
      <c r="X16" s="2146"/>
      <c r="AD16" s="1155">
        <v>34</v>
      </c>
    </row>
    <row customHeight="1" ht="35.699999999999996">
      <c r="A17" s="1370" t="s">
        <v>141</v>
      </c>
      <c r="B17" s="1370" t="s">
        <v>142</v>
      </c>
      <c r="C17" s="1370" t="s">
        <v>143</v>
      </c>
      <c r="D17" s="1370" t="s">
        <v>144</v>
      </c>
      <c r="E17" s="1370"/>
      <c r="J17" s="376"/>
      <c r="K17" s="376"/>
      <c r="L17" s="2292"/>
      <c r="M17" s="2228"/>
      <c r="N17" s="302"/>
      <c r="O17" s="2280"/>
      <c r="P17" s="2280"/>
      <c r="Q17" s="1222" t="s">
        <v>445</v>
      </c>
      <c r="R17" s="1222" t="s">
        <v>446</v>
      </c>
      <c r="S17" s="1292" t="s">
        <v>447</v>
      </c>
      <c r="T17" s="2289" t="s">
        <v>448</v>
      </c>
      <c r="U17" s="2290"/>
      <c r="V17" s="2298"/>
      <c r="W17" s="2301"/>
      <c r="X17" s="2146"/>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175</v>
      </c>
      <c r="B19" s="1363" t="s">
        <v>176</v>
      </c>
      <c r="C19" s="1363" t="s">
        <v>177</v>
      </c>
      <c r="D19" s="1363" t="s">
        <v>178</v>
      </c>
      <c r="E19" s="1363"/>
      <c r="F19" s="1365"/>
      <c r="G19" s="1365"/>
      <c r="H19" s="1365"/>
      <c r="I19" s="361"/>
      <c r="J19" s="360"/>
      <c r="K19" s="355"/>
      <c r="L19" s="1293">
        <f>INDEX(PT_DIFFERENTIATION_NUM_NTAR,MATCH(A19,PT_DIFFERENTIATION_NTAR_ID,0))</f>
        <v>0</v>
      </c>
      <c r="M19" s="298" t="s">
        <v>130</v>
      </c>
      <c r="N19" s="300"/>
      <c r="O19" s="2625" t="str">
        <f>INDEX(PT_DIFFERENTIATION_NTAR,MATCH(A19,PT_DIFFERENTIATION_NTAR_ID,0))</f>
        <v/>
      </c>
      <c r="P19" s="2625"/>
      <c r="Q19" s="2625"/>
      <c r="R19" s="2625"/>
      <c r="S19" s="2625"/>
      <c r="T19" s="2625"/>
      <c r="U19" s="2625"/>
      <c r="V19" s="2625"/>
      <c r="W19" s="2625"/>
      <c r="X19" s="1258" t="s">
        <v>401</v>
      </c>
      <c r="Z19" s="500"/>
      <c r="AA19" s="500" t="str">
        <f>IF(M19="","",M19)</f>
        <v>Наименование тарифа</v>
      </c>
      <c r="AB19" s="500"/>
      <c r="AC19" s="500"/>
      <c r="AD19" s="1155">
        <v>20</v>
      </c>
    </row>
    <row customHeight="1" ht="21">
      <c r="A20" s="1363" t="s">
        <v>175</v>
      </c>
      <c r="B20" s="1363" t="s">
        <v>176</v>
      </c>
      <c r="C20" s="1363" t="s">
        <v>177</v>
      </c>
      <c r="D20" s="1363" t="s">
        <v>178</v>
      </c>
      <c r="E20" s="1363"/>
      <c r="F20" s="1365"/>
      <c r="G20" s="1365"/>
      <c r="H20" s="1365"/>
      <c r="I20" s="1290"/>
      <c r="J20" s="352"/>
      <c r="K20" s="353"/>
      <c r="L20" s="1293" t="str">
        <f>INDEX(PT_DIFFERENTIATION_NUM_TER,MATCH(B19,PT_DIFFERENTIATION_TER_ID,0))</f>
        <v>.</v>
      </c>
      <c r="M20" s="308" t="s">
        <v>402</v>
      </c>
      <c r="N20" s="300"/>
      <c r="O20" s="2625" t="str">
        <f>INDEX(PT_DIFFERENTIATION_TER,MATCH(B19,PT_DIFFERENTIATION_TER_ID,0))</f>
        <v/>
      </c>
      <c r="P20" s="2625"/>
      <c r="Q20" s="2625"/>
      <c r="R20" s="2625"/>
      <c r="S20" s="2625"/>
      <c r="T20" s="2625"/>
      <c r="U20" s="2625"/>
      <c r="V20" s="2625"/>
      <c r="W20" s="2625"/>
      <c r="X20" s="1258" t="s">
        <v>403</v>
      </c>
      <c r="Z20" s="500"/>
      <c r="AA20" s="500" t="str">
        <f>IF(M20="","",M20)</f>
        <v>Территория действия тарифа</v>
      </c>
      <c r="AB20" s="500"/>
      <c r="AC20" s="500"/>
      <c r="AD20" s="1155">
        <v>20</v>
      </c>
    </row>
    <row customHeight="1" ht="24">
      <c r="A21" s="1363" t="s">
        <v>175</v>
      </c>
      <c r="B21" s="1363" t="s">
        <v>176</v>
      </c>
      <c r="C21" s="1363" t="s">
        <v>177</v>
      </c>
      <c r="D21" s="1363" t="s">
        <v>178</v>
      </c>
      <c r="E21" s="1363"/>
      <c r="F21" s="1365"/>
      <c r="G21" s="1365"/>
      <c r="H21" s="1365"/>
      <c r="I21" s="354"/>
      <c r="J21" s="352"/>
      <c r="K21" s="353"/>
      <c r="L21" s="1293" t="str">
        <f>INDEX(PT_DIFFERENTIATION_NUM_CS,MATCH(C19,PT_DIFFERENTIATION_CS_ID,0))</f>
        <v>..</v>
      </c>
      <c r="M21" s="309" t="s">
        <v>404</v>
      </c>
      <c r="N21" s="300"/>
      <c r="O21" s="2625" t="str">
        <f>INDEX(PT_DIFFERENTIATION_CS,MATCH(C19,PT_DIFFERENTIATION_CS_ID,0))</f>
        <v/>
      </c>
      <c r="P21" s="2625"/>
      <c r="Q21" s="2625"/>
      <c r="R21" s="2625"/>
      <c r="S21" s="2625"/>
      <c r="T21" s="2625"/>
      <c r="U21" s="2625"/>
      <c r="V21" s="2625"/>
      <c r="W21" s="2625"/>
      <c r="X21" s="1258" t="s">
        <v>405</v>
      </c>
      <c r="Z21" s="500"/>
      <c r="AA21" s="500" t="str">
        <f>IF(M21="","",M21)</f>
        <v>Наименование системы теплоснабжения </v>
      </c>
      <c r="AB21" s="500"/>
      <c r="AC21" s="500"/>
      <c r="AD21" s="1155">
        <v>23</v>
      </c>
    </row>
    <row customHeight="1" ht="21">
      <c r="A22" s="1363" t="s">
        <v>175</v>
      </c>
      <c r="B22" s="1363" t="s">
        <v>176</v>
      </c>
      <c r="C22" s="1363" t="s">
        <v>177</v>
      </c>
      <c r="D22" s="1363" t="s">
        <v>178</v>
      </c>
      <c r="E22" s="1363"/>
      <c r="F22" s="1365"/>
      <c r="G22" s="1365"/>
      <c r="H22" s="1365"/>
      <c r="I22" s="354"/>
      <c r="J22" s="352"/>
      <c r="K22" s="353"/>
      <c r="L22" s="1293" t="str">
        <f>INDEX(PT_DIFFERENTIATION_NUM_IST_TE,MATCH(D19,PT_DIFFERENTIATION_IST_TE_ID,0))</f>
        <v>...</v>
      </c>
      <c r="M22" s="310" t="s">
        <v>406</v>
      </c>
      <c r="N22" s="300"/>
      <c r="O22" s="2625" t="str">
        <f>INDEX(PT_DIFFERENTIATION_IST_TE,MATCH(D19,PT_DIFFERENTIATION_IST_TE_ID,0))</f>
        <v/>
      </c>
      <c r="P22" s="2625"/>
      <c r="Q22" s="2625"/>
      <c r="R22" s="2625"/>
      <c r="S22" s="2625"/>
      <c r="T22" s="2625"/>
      <c r="U22" s="2625"/>
      <c r="V22" s="2625"/>
      <c r="W22" s="2625"/>
      <c r="X22" s="1258" t="s">
        <v>407</v>
      </c>
      <c r="Z22" s="500"/>
      <c r="AA22" s="500" t="str">
        <f>IF(M22="","",M22)</f>
        <v>Источник тепловой энергии  </v>
      </c>
      <c r="AB22" s="500"/>
      <c r="AC22" s="500"/>
      <c r="AD22" s="1155">
        <v>20</v>
      </c>
    </row>
    <row customHeight="1" ht="96.75">
      <c r="A23" s="1363" t="s">
        <v>175</v>
      </c>
      <c r="B23" s="1363" t="s">
        <v>176</v>
      </c>
      <c r="C23" s="1363" t="s">
        <v>177</v>
      </c>
      <c r="D23" s="1363" t="s">
        <v>178</v>
      </c>
      <c r="E23" s="1363"/>
      <c r="F23" s="2626" t="str">
        <f>L22&amp;".1"</f>
        <v>....1</v>
      </c>
      <c r="I23" s="2276">
        <v>1</v>
      </c>
      <c r="J23" s="1291"/>
      <c r="K23" s="356"/>
      <c r="L23" s="1293" t="str">
        <f>$F$23</f>
        <v>....1</v>
      </c>
      <c r="M23" s="285" t="s">
        <v>409</v>
      </c>
      <c r="N23" s="300"/>
      <c r="O23" s="2324"/>
      <c r="P23" s="2324"/>
      <c r="Q23" s="2324"/>
      <c r="R23" s="2324"/>
      <c r="S23" s="2324"/>
      <c r="T23" s="2324"/>
      <c r="U23" s="2324"/>
      <c r="V23" s="2324"/>
      <c r="W23" s="2324"/>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175</v>
      </c>
      <c r="B24" s="1363" t="s">
        <v>176</v>
      </c>
      <c r="C24" s="1363" t="s">
        <v>177</v>
      </c>
      <c r="D24" s="1363" t="s">
        <v>178</v>
      </c>
      <c r="E24" s="1363"/>
      <c r="F24" s="2626"/>
      <c r="G24" s="2236" t="str">
        <f>F23&amp;".1"</f>
        <v>....1.1</v>
      </c>
      <c r="I24" s="2276"/>
      <c r="J24" s="2276">
        <v>1</v>
      </c>
      <c r="K24" s="357"/>
      <c r="L24" s="1293" t="str">
        <f>$G$24</f>
        <v>....1.1</v>
      </c>
      <c r="M24" s="286" t="s">
        <v>412</v>
      </c>
      <c r="N24" s="300"/>
      <c r="O24" s="2264"/>
      <c r="P24" s="2265"/>
      <c r="Q24" s="2265"/>
      <c r="R24" s="2265"/>
      <c r="S24" s="2265"/>
      <c r="T24" s="2265"/>
      <c r="U24" s="2265"/>
      <c r="V24" s="2265"/>
      <c r="W24" s="2266"/>
      <c r="X24" s="1258" t="s">
        <v>413</v>
      </c>
      <c r="Z24" s="500"/>
      <c r="AA24" s="500" t="str">
        <f>IF(M24="","",M24)</f>
        <v>Группа потребителей</v>
      </c>
      <c r="AB24" s="500"/>
      <c r="AC24" s="500"/>
      <c r="AD24" s="1155">
        <v>82</v>
      </c>
    </row>
    <row customHeight="1" ht="11.549999999999999">
      <c r="A25" s="1363" t="s">
        <v>175</v>
      </c>
      <c r="B25" s="1363" t="s">
        <v>176</v>
      </c>
      <c r="C25" s="1363" t="s">
        <v>177</v>
      </c>
      <c r="D25" s="1363" t="s">
        <v>178</v>
      </c>
      <c r="E25" s="1363"/>
      <c r="F25" s="2626"/>
      <c r="G25" s="2236"/>
      <c r="H25" s="2236" t="str">
        <f>G24&amp;".1"</f>
        <v>....1.1.1</v>
      </c>
      <c r="I25" s="2276"/>
      <c r="J25" s="2276"/>
      <c r="K25" s="357">
        <v>1</v>
      </c>
      <c r="L25" s="1293" t="str">
        <f>$H$25</f>
        <v>....1.1.1</v>
      </c>
      <c r="M25" s="1347"/>
      <c r="N25" s="300"/>
      <c r="O25" s="751"/>
      <c r="P25" s="325"/>
      <c r="Q25" s="751"/>
      <c r="R25" s="1257"/>
      <c r="S25" s="2621"/>
      <c r="T25" s="2126" t="s">
        <v>66</v>
      </c>
      <c r="U25" s="2621"/>
      <c r="V25" s="2126" t="s">
        <v>19</v>
      </c>
      <c r="W25" s="325"/>
      <c r="X25" s="2272" t="s">
        <v>415</v>
      </c>
      <c r="Y25" s="511">
        <f>STRCHECKDATE(O26:W26)</f>
      </c>
      <c r="Z25" s="500"/>
      <c r="AA25" s="500" t="str">
        <f>IF(M25="","",M25)</f>
        <v/>
      </c>
      <c r="AB25" s="500"/>
      <c r="AC25" s="500"/>
      <c r="AD25" s="1155">
        <v>11</v>
      </c>
    </row>
    <row customHeight="1" ht="11.549999999999999">
      <c r="A26" s="1363" t="s">
        <v>175</v>
      </c>
      <c r="B26" s="1363" t="s">
        <v>176</v>
      </c>
      <c r="C26" s="1363" t="s">
        <v>177</v>
      </c>
      <c r="D26" s="1363" t="s">
        <v>178</v>
      </c>
      <c r="E26" s="1363"/>
      <c r="F26" s="2626"/>
      <c r="G26" s="2236"/>
      <c r="H26" s="2236"/>
      <c r="I26" s="2276"/>
      <c r="J26" s="2276"/>
      <c r="K26" s="357"/>
      <c r="L26" s="1294"/>
      <c r="M26" s="300"/>
      <c r="N26" s="300"/>
      <c r="O26" s="325"/>
      <c r="P26" s="325"/>
      <c r="Q26" s="325"/>
      <c r="R26" s="328" t="str">
        <f>S25&amp;"-"&amp;U25</f>
        <v>-</v>
      </c>
      <c r="S26" s="2285"/>
      <c r="T26" s="2126"/>
      <c r="U26" s="2285"/>
      <c r="V26" s="2126"/>
      <c r="W26" s="325"/>
      <c r="X26" s="2273"/>
      <c r="Z26" s="500"/>
      <c r="AA26" s="500" t="str">
        <f>IF(M26="","",M26)</f>
        <v/>
      </c>
      <c r="AB26" s="500"/>
      <c r="AC26" s="500"/>
      <c r="AD26" s="1155">
        <v>11</v>
      </c>
    </row>
    <row customHeight="1" ht="15.75">
      <c r="A27" s="1363" t="s">
        <v>175</v>
      </c>
      <c r="B27" s="1363" t="s">
        <v>176</v>
      </c>
      <c r="C27" s="1363" t="s">
        <v>177</v>
      </c>
      <c r="D27" s="1363" t="s">
        <v>178</v>
      </c>
      <c r="E27" s="1363"/>
      <c r="F27" s="2626"/>
      <c r="G27" s="2236"/>
      <c r="I27" s="2276"/>
      <c r="J27" s="2276"/>
      <c r="K27" s="356"/>
      <c r="L27" s="1278"/>
      <c r="M27" s="288" t="s">
        <v>416</v>
      </c>
      <c r="N27" s="367"/>
      <c r="O27" s="367"/>
      <c r="P27" s="367"/>
      <c r="Q27" s="367"/>
      <c r="R27" s="367"/>
      <c r="S27" s="367"/>
      <c r="T27" s="367"/>
      <c r="U27" s="367"/>
      <c r="V27" s="367"/>
      <c r="W27" s="324"/>
      <c r="X27" s="2274"/>
      <c r="Z27" s="500"/>
      <c r="AA27" s="500" t="str">
        <f>IF(M27="","",M27)</f>
        <v>Добавить вид теплоносителя (параметры теплоносителя)</v>
      </c>
      <c r="AB27" s="500"/>
      <c r="AC27" s="500"/>
      <c r="AD27" s="1155">
        <v>15</v>
      </c>
    </row>
    <row customHeight="1" ht="15.75">
      <c r="A28" s="1363" t="s">
        <v>175</v>
      </c>
      <c r="B28" s="1363" t="s">
        <v>176</v>
      </c>
      <c r="C28" s="1363" t="s">
        <v>177</v>
      </c>
      <c r="D28" s="1363" t="s">
        <v>178</v>
      </c>
      <c r="E28" s="1363"/>
      <c r="F28" s="2626"/>
      <c r="I28" s="2276"/>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175</v>
      </c>
      <c r="B29" s="1363" t="s">
        <v>176</v>
      </c>
      <c r="C29" s="1363" t="s">
        <v>177</v>
      </c>
      <c r="D29" s="1363" t="s">
        <v>178</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175</v>
      </c>
      <c r="B30" s="1363" t="s">
        <v>176</v>
      </c>
      <c r="C30" s="1363" t="s">
        <v>177</v>
      </c>
      <c r="D30" s="1363"/>
      <c r="E30" s="1363" t="s">
        <v>608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175</v>
      </c>
      <c r="B31" s="1363" t="s">
        <v>176</v>
      </c>
      <c r="C31" s="1363"/>
      <c r="D31" s="1363"/>
      <c r="E31" s="1363" t="s">
        <v>2301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2302</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449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847</v>
      </c>
      <c r="M35" s="2304" t="s">
        <v>2303</v>
      </c>
      <c r="N35" s="2304"/>
      <c r="O35" s="2304"/>
      <c r="P35" s="2304"/>
      <c r="Q35" s="2304"/>
      <c r="R35" s="2304"/>
      <c r="S35" s="2304"/>
      <c r="T35" s="2304"/>
      <c r="U35" s="2304"/>
      <c r="V35" s="2304"/>
      <c r="W35" s="2304"/>
      <c r="X35" s="2304"/>
      <c r="AD35" s="1155">
        <v>27</v>
      </c>
    </row>
    <row customHeight="1" ht="109.19999999999999">
      <c r="H36" s="537"/>
      <c r="I36" s="1303"/>
      <c r="M36" s="2304" t="s">
        <v>2304</v>
      </c>
      <c r="N36" s="2304"/>
      <c r="O36" s="2304"/>
      <c r="P36" s="2304"/>
      <c r="Q36" s="2304"/>
      <c r="R36" s="2304"/>
      <c r="S36" s="2304"/>
      <c r="T36" s="2304"/>
      <c r="U36" s="2304"/>
      <c r="V36" s="2304"/>
      <c r="W36" s="2304"/>
      <c r="X36" s="230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8075E-B328-0E58-5D26-8435BC65C7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34AF8-6B58-0128-AA08-B69C2B6084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A25C9-7688-BDD7-9581-56E478579A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6FBA6-133C-61A8-3958-8B31BDA9D7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F4D28-993B-B7B8-E588-BA1CBEE13A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F6148-A868-E699-3C18-E96DE0B4D5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304</v>
      </c>
      <c r="J1" s="455" t="s">
        <v>14</v>
      </c>
    </row>
    <row customHeight="1" ht="11.25" hidden="1">
      <c r="J2" s="455">
        <v>0</v>
      </c>
    </row>
    <row s="477" customFormat="1" customHeight="1" ht="11.549999999999999">
      <c r="A3" s="1685"/>
      <c r="B3" s="501"/>
      <c r="D3" s="478"/>
      <c r="J3" s="477">
        <v>11</v>
      </c>
    </row>
    <row customHeight="1" ht="27.299999999999997">
      <c r="D4" s="217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7"/>
      <c r="F4" s="2178"/>
      <c r="I4" s="715"/>
      <c r="J4" s="455">
        <v>26</v>
      </c>
    </row>
    <row customHeight="1" ht="18">
      <c r="D5" s="2195" t="str">
        <f>IF(org=0,"Не определено",org)</f>
        <v>Муниципальное унитарное предприятие "Невельские коммунальные сети"</v>
      </c>
      <c r="E5" s="2195"/>
      <c r="F5" s="2195"/>
      <c r="I5" s="715"/>
      <c r="J5" s="455">
        <v>17</v>
      </c>
    </row>
    <row s="477" customFormat="1" customHeight="1" ht="11.549999999999999">
      <c r="A6" s="1685"/>
      <c r="B6" s="501"/>
      <c r="D6" s="714"/>
      <c r="E6" s="714"/>
      <c r="F6" s="752"/>
      <c r="G6" s="714"/>
      <c r="J6" s="477">
        <v>11</v>
      </c>
    </row>
    <row customHeight="1" ht="11.25" hidden="1">
      <c r="A7" s="457"/>
      <c r="B7" s="502"/>
      <c r="C7" s="457"/>
      <c r="D7" s="463"/>
      <c r="E7" s="2226"/>
      <c r="F7" s="2226"/>
      <c r="J7" s="455">
        <v>0</v>
      </c>
    </row>
    <row customHeight="1" ht="11.549999999999999">
      <c r="A8" s="457"/>
      <c r="B8" s="502"/>
      <c r="C8" s="457"/>
      <c r="D8" s="2223" t="s">
        <v>305</v>
      </c>
      <c r="E8" s="2224"/>
      <c r="F8" s="2224"/>
      <c r="G8" s="2227" t="s">
        <v>306</v>
      </c>
      <c r="J8" s="455">
        <v>11</v>
      </c>
    </row>
    <row customHeight="1" ht="11.549999999999999">
      <c r="A9" s="457"/>
      <c r="B9" s="502"/>
      <c r="C9" s="457"/>
      <c r="D9" s="472" t="s">
        <v>89</v>
      </c>
      <c r="E9" s="446" t="s">
        <v>307</v>
      </c>
      <c r="F9" s="446" t="s">
        <v>308</v>
      </c>
      <c r="G9" s="2228"/>
      <c r="J9" s="455">
        <v>11</v>
      </c>
    </row>
    <row customHeight="1" ht="12" hidden="1">
      <c r="A10" s="457"/>
      <c r="B10" s="502"/>
      <c r="C10" s="457"/>
      <c r="D10" s="464"/>
      <c r="E10" s="464"/>
      <c r="F10" s="464"/>
      <c r="G10" s="464"/>
      <c r="J10" s="455">
        <v>0</v>
      </c>
    </row>
    <row customHeight="1" ht="22.5" hidden="1">
      <c r="A11" s="457"/>
      <c r="B11" s="502"/>
      <c r="C11" s="457"/>
      <c r="D11" s="1009" t="s">
        <v>110</v>
      </c>
      <c r="E11" s="1012" t="s">
        <v>309</v>
      </c>
      <c r="F11" s="1011" t="str">
        <f>IF(region_name="","",region_name)</f>
        <v>Сахалинская область</v>
      </c>
      <c r="G11" s="1012" t="s">
        <v>310</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6505011534</v>
      </c>
      <c r="G14" s="1012" t="s">
        <v>314</v>
      </c>
      <c r="H14" s="475"/>
      <c r="J14" s="455">
        <v>0</v>
      </c>
    </row>
    <row customHeight="1" ht="22.5" hidden="1">
      <c r="A15" s="457"/>
      <c r="B15" s="502"/>
      <c r="C15" s="457"/>
      <c r="D15" s="1009" t="s">
        <v>315</v>
      </c>
      <c r="E15" s="1010" t="s">
        <v>316</v>
      </c>
      <c r="F15" s="1011" t="str">
        <f>IF(kpp="","",kpp)</f>
        <v>650501001</v>
      </c>
      <c r="G15" s="1012" t="s">
        <v>317</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21" t="s">
        <v>318</v>
      </c>
      <c r="B19" s="502"/>
      <c r="C19" s="2232"/>
      <c r="D19" s="445" t="str">
        <f>A19</f>
        <v>5.1</v>
      </c>
      <c r="E19" s="442" t="s">
        <v>319</v>
      </c>
      <c r="F19" s="443" t="s">
        <v>311</v>
      </c>
      <c r="G19" s="444" t="s">
        <v>320</v>
      </c>
      <c r="H19" s="475"/>
      <c r="I19" s="852"/>
      <c r="J19" s="455">
        <v>0</v>
      </c>
    </row>
    <row customHeight="1" ht="24" hidden="1">
      <c r="A20" s="2221"/>
      <c r="B20" s="502"/>
      <c r="C20" s="2232"/>
      <c r="D20" s="440" t="str">
        <f>D19&amp;".1"</f>
        <v>5.1.1</v>
      </c>
      <c r="E20" s="439" t="s">
        <v>321</v>
      </c>
      <c r="F20" s="881" t="s">
        <v>22</v>
      </c>
      <c r="G20" s="474"/>
      <c r="H20" s="475"/>
      <c r="I20" s="852"/>
      <c r="J20" s="455">
        <v>0</v>
      </c>
    </row>
    <row customHeight="1" ht="22.5" hidden="1">
      <c r="A21" s="2221"/>
      <c r="B21" s="502"/>
      <c r="C21" s="2232"/>
      <c r="D21" s="440" t="str">
        <f>D19&amp;".2"</f>
        <v>5.1.2</v>
      </c>
      <c r="E21" s="439" t="s">
        <v>322</v>
      </c>
      <c r="F21" s="1732" t="s">
        <v>22</v>
      </c>
      <c r="G21" s="444" t="s">
        <v>323</v>
      </c>
      <c r="H21" s="475"/>
      <c r="I21" s="852"/>
      <c r="J21" s="455">
        <v>0</v>
      </c>
    </row>
    <row customHeight="1" ht="22.5" hidden="1">
      <c r="A22" s="2221"/>
      <c r="B22" s="502"/>
      <c r="C22" s="2232"/>
      <c r="D22" s="440" t="str">
        <f>D19&amp;".3"</f>
        <v>5.1.3</v>
      </c>
      <c r="E22" s="439" t="s">
        <v>324</v>
      </c>
      <c r="F22" s="881" t="s">
        <v>22</v>
      </c>
      <c r="G22" s="474"/>
      <c r="H22" s="475"/>
      <c r="I22" s="852"/>
      <c r="J22" s="455">
        <v>0</v>
      </c>
    </row>
    <row customHeight="1" ht="22.5" hidden="1">
      <c r="A23" s="2221"/>
      <c r="B23" s="502"/>
      <c r="C23" s="2232"/>
      <c r="D23" s="440" t="str">
        <f>D19&amp;".4"</f>
        <v>5.1.4</v>
      </c>
      <c r="E23" s="439" t="s">
        <v>325</v>
      </c>
      <c r="F23" s="881" t="s">
        <v>22</v>
      </c>
      <c r="G23" s="444" t="s">
        <v>326</v>
      </c>
      <c r="H23" s="475"/>
      <c r="I23" s="852"/>
      <c r="J23" s="455">
        <v>0</v>
      </c>
    </row>
    <row customHeight="1" ht="22.5" hidden="1">
      <c r="A24" s="1975"/>
      <c r="B24" s="502"/>
      <c r="C24" s="492"/>
      <c r="D24" s="467"/>
      <c r="E24" s="1168" t="s">
        <v>327</v>
      </c>
      <c r="F24" s="468"/>
      <c r="G24" s="469"/>
      <c r="H24" s="475"/>
      <c r="I24" s="852"/>
      <c r="J24" s="455">
        <v>0</v>
      </c>
    </row>
    <row s="501" customFormat="1" customHeight="1" ht="24.75" hidden="1">
      <c r="A25" s="457"/>
      <c r="B25" s="502"/>
      <c r="C25" s="502"/>
      <c r="D25" s="1006" t="s">
        <v>91</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30"/>
      <c r="H40" s="475"/>
      <c r="J40" s="455">
        <v>0</v>
      </c>
    </row>
    <row customHeight="1" ht="23.25">
      <c r="A41" s="457"/>
      <c r="B41" s="457"/>
      <c r="C41" s="1687"/>
      <c r="D41" s="440" t="str">
        <f>D39&amp;".1"</f>
        <v>9.1</v>
      </c>
      <c r="E41" s="860"/>
      <c r="F41" s="861"/>
      <c r="G41" s="2230"/>
      <c r="H41" s="475"/>
      <c r="J41" s="455">
        <v>22</v>
      </c>
    </row>
    <row customHeight="1" ht="15.75">
      <c r="A42" s="457"/>
      <c r="B42" s="502"/>
      <c r="C42" s="457"/>
      <c r="D42" s="467"/>
      <c r="E42" s="415" t="s">
        <v>344</v>
      </c>
      <c r="F42" s="469"/>
      <c r="G42" s="2231"/>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3"/>
      <c r="G46" s="437" t="s">
        <v>347</v>
      </c>
      <c r="H46" s="475"/>
      <c r="J46" s="455">
        <v>23</v>
      </c>
    </row>
    <row customHeight="1" ht="24">
      <c r="A47" s="2221"/>
      <c r="B47" s="502"/>
      <c r="C47" s="492"/>
      <c r="D47" s="440" t="str">
        <f>D45&amp;".2"</f>
        <v>12.2</v>
      </c>
      <c r="E47" s="442" t="s">
        <v>348</v>
      </c>
      <c r="F47" s="490"/>
      <c r="G47" s="437" t="s">
        <v>349</v>
      </c>
      <c r="H47" s="475"/>
      <c r="J47" s="455">
        <v>23</v>
      </c>
    </row>
    <row customHeight="1" ht="24">
      <c r="A48" s="2221"/>
      <c r="B48" s="502"/>
      <c r="C48" s="492"/>
      <c r="D48" s="440" t="str">
        <f>D45&amp;".3"</f>
        <v>12.3</v>
      </c>
      <c r="E48" s="442" t="s">
        <v>350</v>
      </c>
      <c r="F48" s="490"/>
      <c r="G48" s="437" t="s">
        <v>351</v>
      </c>
      <c r="H48" s="475"/>
      <c r="J48" s="455">
        <v>23</v>
      </c>
    </row>
    <row customHeight="1" ht="24">
      <c r="A49" s="2221"/>
      <c r="B49" s="502"/>
      <c r="C49" s="492"/>
      <c r="D49" s="440" t="str">
        <f>IF(TEMPLATE_SPHERE="TKO",D45&amp;".0",D45&amp;".4")</f>
        <v>12.4</v>
      </c>
      <c r="E49" s="436" t="s">
        <v>352</v>
      </c>
      <c r="F49" s="1684"/>
      <c r="G49" s="1761" t="s">
        <v>353</v>
      </c>
      <c r="H49" s="475"/>
      <c r="J49" s="455">
        <v>23</v>
      </c>
    </row>
    <row customHeight="1" ht="24">
      <c r="A50" s="457"/>
      <c r="B50" s="502"/>
      <c r="C50" s="457"/>
      <c r="D50" s="467"/>
      <c r="E50" s="415" t="s">
        <v>354</v>
      </c>
      <c r="F50" s="468"/>
      <c r="G50" s="1761" t="s">
        <v>355</v>
      </c>
      <c r="H50" s="476"/>
      <c r="J50" s="455">
        <v>23</v>
      </c>
    </row>
    <row customHeight="1" ht="24">
      <c r="A51" s="858"/>
      <c r="B51" s="502"/>
      <c r="C51" s="492"/>
      <c r="D51" s="440">
        <f>D45+1</f>
        <v>13</v>
      </c>
      <c r="E51" s="528" t="s">
        <v>356</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6"/>
      <c r="B53" s="503"/>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5"/>
      <c r="F53" s="2225"/>
      <c r="G53" s="2225"/>
      <c r="H53" s="454"/>
      <c r="I53" s="454"/>
      <c r="J53" s="460">
        <v>30</v>
      </c>
    </row>
    <row s="460" customFormat="1" customHeight="1" ht="42">
      <c r="A54" s="457"/>
      <c r="B54" s="502"/>
      <c r="C54" s="2222"/>
      <c r="D54" s="222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5"/>
      <c r="F54" s="2225"/>
      <c r="G54" s="2225"/>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E87B1-FA4D-51A7-9C83-57042CD2C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6073F-B9D8-2748-BC68-DDB4B307B5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8C7C8-FA63-A858-D01E-2FE241886C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CC938-0FD8-3F68-2D76-1D58150D859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2305</v>
      </c>
      <c r="B1" s="2639" t="s">
        <v>2306</v>
      </c>
      <c r="C1" s="2640" t="s">
        <v>2307</v>
      </c>
      <c r="D1" s="2641"/>
      <c r="E1" s="836" t="s">
        <v>2308</v>
      </c>
    </row>
    <row customHeight="1" ht="11.25">
      <c r="A2" s="2642"/>
      <c r="B2" s="765" t="s">
        <v>27</v>
      </c>
      <c r="C2" s="753"/>
      <c r="D2" s="764"/>
      <c r="E2" s="836"/>
    </row>
    <row customHeight="1" ht="11.25">
      <c r="A3" s="2643"/>
      <c r="B3" s="2644" t="s">
        <v>33</v>
      </c>
      <c r="C3" s="753"/>
      <c r="D3" s="764"/>
      <c r="E3" s="836"/>
    </row>
    <row customHeight="1" ht="11.25">
      <c r="A4" s="2645"/>
      <c r="B4" s="766" t="s">
        <v>1741</v>
      </c>
      <c r="C4" s="753"/>
      <c r="D4" s="764"/>
      <c r="E4" s="836"/>
    </row>
    <row customHeight="1" ht="11.25">
      <c r="A5" s="2646"/>
      <c r="B5" s="766" t="s">
        <v>1736</v>
      </c>
      <c r="C5" s="2647" t="s">
        <v>2075</v>
      </c>
      <c r="D5" s="2648" t="s">
        <v>2309</v>
      </c>
      <c r="E5" s="836"/>
    </row>
    <row s="1847" customFormat="1" customHeight="1" ht="11.25">
      <c r="A6" s="2649"/>
      <c r="B6" s="766" t="s">
        <v>1745</v>
      </c>
      <c r="C6" s="753"/>
      <c r="D6" s="764"/>
      <c r="E6" s="836"/>
    </row>
    <row customHeight="1" ht="11.25">
      <c r="A7" s="2650"/>
      <c r="B7" s="766" t="s">
        <v>1753</v>
      </c>
      <c r="C7" s="753"/>
      <c r="D7" s="764"/>
      <c r="E7" s="836"/>
    </row>
    <row customHeight="1" ht="11.25">
      <c r="A8" s="756"/>
      <c r="B8" s="766" t="s">
        <v>1748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49E88-B328-E3F5-B058-DD52847377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19C78-CBB8-FE62-3314-A049F2CB05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ABBA8-5558-2663-DF38-AE0F49ABC8A8}" mc:Ignorable="x14ac xr xr2 xr3">
  <sheetPr>
    <tabColor rgb="FFFFCC99"/>
  </sheetPr>
  <dimension ref="A1:I279"/>
  <sheetViews>
    <sheetView topLeftCell="A1" showGridLines="0" workbookViewId="0">
      <selection activeCell="A1" sqref="A1"/>
    </sheetView>
  </sheetViews>
  <sheetFormatPr defaultColWidth="9.140625" customHeight="1" defaultRowHeight="11.25"/>
  <cols>
    <col min="1" max="2" style="1847" width="9.140625"/>
  </cols>
  <sheetData>
    <row customHeight="1" ht="11.25">
      <c r="A1" s="68" t="s">
        <v>2310</v>
      </c>
      <c r="B1" s="68" t="s">
        <v>2311</v>
      </c>
      <c r="C1" s="0" t="s">
        <v>2312</v>
      </c>
      <c r="D1" s="0" t="s">
        <v>2313</v>
      </c>
      <c r="E1" s="0" t="s">
        <v>2314</v>
      </c>
      <c r="F1" s="0" t="s">
        <v>2315</v>
      </c>
      <c r="G1" s="0" t="s">
        <v>2316</v>
      </c>
      <c r="H1" s="0" t="s">
        <v>2317</v>
      </c>
      <c r="I1" s="0" t="s">
        <v>2318</v>
      </c>
    </row>
    <row customHeight="1" ht="11.25">
      <c r="A2" s="1847" t="s">
        <v>2319</v>
      </c>
      <c r="B2" s="1847" t="s">
        <v>16</v>
      </c>
      <c r="C2" s="0" t="s">
        <v>2320</v>
      </c>
      <c r="D2" s="0" t="s">
        <v>2321</v>
      </c>
      <c r="E2" s="0" t="s">
        <v>2322</v>
      </c>
      <c r="F2" s="0" t="s">
        <v>2323</v>
      </c>
      <c r="G2" s="0" t="s">
        <v>22</v>
      </c>
      <c r="H2" s="0" t="s">
        <v>22</v>
      </c>
      <c r="I2" s="0" t="s">
        <v>851</v>
      </c>
    </row>
    <row customHeight="1" ht="11.25">
      <c r="A3" s="1847" t="s">
        <v>2319</v>
      </c>
      <c r="B3" s="1847" t="s">
        <v>16</v>
      </c>
      <c r="C3" s="0" t="s">
        <v>2324</v>
      </c>
      <c r="D3" s="0" t="s">
        <v>2325</v>
      </c>
      <c r="E3" s="0" t="s">
        <v>2326</v>
      </c>
      <c r="F3" s="0" t="s">
        <v>2327</v>
      </c>
      <c r="G3" s="0" t="s">
        <v>22</v>
      </c>
      <c r="H3" s="0" t="s">
        <v>22</v>
      </c>
      <c r="I3" s="0" t="s">
        <v>851</v>
      </c>
    </row>
    <row customHeight="1" ht="11.25">
      <c r="A4" s="1847" t="s">
        <v>2319</v>
      </c>
      <c r="B4" s="1847" t="s">
        <v>16</v>
      </c>
      <c r="C4" s="0" t="s">
        <v>2328</v>
      </c>
      <c r="D4" s="0" t="s">
        <v>2329</v>
      </c>
      <c r="E4" s="0" t="s">
        <v>2330</v>
      </c>
      <c r="F4" s="0" t="s">
        <v>2331</v>
      </c>
      <c r="G4" s="0" t="s">
        <v>22</v>
      </c>
      <c r="H4" s="0" t="s">
        <v>22</v>
      </c>
      <c r="I4" s="0" t="s">
        <v>851</v>
      </c>
    </row>
    <row customHeight="1" ht="11.25">
      <c r="A5" s="1847" t="s">
        <v>2319</v>
      </c>
      <c r="B5" s="1847" t="s">
        <v>16</v>
      </c>
      <c r="C5" s="0" t="s">
        <v>2332</v>
      </c>
      <c r="D5" s="0" t="s">
        <v>2333</v>
      </c>
      <c r="E5" s="0" t="s">
        <v>2334</v>
      </c>
      <c r="F5" s="0" t="s">
        <v>2331</v>
      </c>
      <c r="G5" s="0" t="s">
        <v>22</v>
      </c>
      <c r="H5" s="0" t="s">
        <v>22</v>
      </c>
      <c r="I5" s="0" t="s">
        <v>851</v>
      </c>
    </row>
    <row customHeight="1" ht="11.25">
      <c r="A6" s="1847" t="s">
        <v>2319</v>
      </c>
      <c r="B6" s="1847" t="s">
        <v>16</v>
      </c>
      <c r="C6" s="0" t="s">
        <v>2335</v>
      </c>
      <c r="D6" s="0" t="s">
        <v>2336</v>
      </c>
      <c r="E6" s="0" t="s">
        <v>2337</v>
      </c>
      <c r="F6" s="0" t="s">
        <v>2338</v>
      </c>
      <c r="G6" s="0" t="s">
        <v>22</v>
      </c>
      <c r="H6" s="0" t="s">
        <v>22</v>
      </c>
      <c r="I6" s="0" t="s">
        <v>851</v>
      </c>
    </row>
    <row customHeight="1" ht="11.25">
      <c r="A7" s="1847" t="s">
        <v>2319</v>
      </c>
      <c r="B7" s="1847" t="s">
        <v>16</v>
      </c>
      <c r="C7" s="0" t="s">
        <v>2339</v>
      </c>
      <c r="D7" s="0" t="s">
        <v>2340</v>
      </c>
      <c r="E7" s="0" t="s">
        <v>2341</v>
      </c>
      <c r="F7" s="0" t="s">
        <v>2342</v>
      </c>
      <c r="G7" s="0" t="s">
        <v>22</v>
      </c>
      <c r="H7" s="0" t="s">
        <v>22</v>
      </c>
      <c r="I7" s="0" t="s">
        <v>851</v>
      </c>
    </row>
    <row customHeight="1" ht="11.25">
      <c r="A8" s="1847" t="s">
        <v>2319</v>
      </c>
      <c r="B8" s="1847" t="s">
        <v>16</v>
      </c>
      <c r="C8" s="0" t="s">
        <v>2343</v>
      </c>
      <c r="D8" s="0" t="s">
        <v>2344</v>
      </c>
      <c r="E8" s="0" t="s">
        <v>2345</v>
      </c>
      <c r="F8" s="0" t="s">
        <v>2346</v>
      </c>
      <c r="G8" s="0" t="s">
        <v>22</v>
      </c>
      <c r="H8" s="0" t="s">
        <v>22</v>
      </c>
      <c r="I8" s="0" t="s">
        <v>851</v>
      </c>
    </row>
    <row customHeight="1" ht="11.25">
      <c r="A9" s="1847" t="s">
        <v>2319</v>
      </c>
      <c r="B9" s="1847" t="s">
        <v>16</v>
      </c>
      <c r="C9" s="0" t="s">
        <v>2347</v>
      </c>
      <c r="D9" s="0" t="s">
        <v>2348</v>
      </c>
      <c r="E9" s="0" t="s">
        <v>2349</v>
      </c>
      <c r="F9" s="0" t="s">
        <v>2323</v>
      </c>
      <c r="G9" s="0" t="s">
        <v>22</v>
      </c>
      <c r="H9" s="0" t="s">
        <v>22</v>
      </c>
      <c r="I9" s="0" t="s">
        <v>851</v>
      </c>
    </row>
    <row customHeight="1" ht="11.25">
      <c r="A10" s="1847" t="s">
        <v>2319</v>
      </c>
      <c r="B10" s="1847" t="s">
        <v>16</v>
      </c>
      <c r="C10" s="0" t="s">
        <v>2350</v>
      </c>
      <c r="D10" s="0" t="s">
        <v>2351</v>
      </c>
      <c r="E10" s="0" t="s">
        <v>2352</v>
      </c>
      <c r="F10" s="0" t="s">
        <v>2353</v>
      </c>
      <c r="G10" s="0" t="s">
        <v>22</v>
      </c>
      <c r="H10" s="0" t="s">
        <v>22</v>
      </c>
      <c r="I10" s="0" t="s">
        <v>851</v>
      </c>
    </row>
    <row customHeight="1" ht="11.25">
      <c r="A11" s="1847" t="s">
        <v>2319</v>
      </c>
      <c r="B11" s="1847" t="s">
        <v>16</v>
      </c>
      <c r="C11" s="0" t="s">
        <v>2354</v>
      </c>
      <c r="D11" s="0" t="s">
        <v>2355</v>
      </c>
      <c r="E11" s="0" t="s">
        <v>2356</v>
      </c>
      <c r="F11" s="0" t="s">
        <v>2323</v>
      </c>
      <c r="G11" s="0" t="s">
        <v>22</v>
      </c>
      <c r="H11" s="0" t="s">
        <v>22</v>
      </c>
      <c r="I11" s="0" t="s">
        <v>851</v>
      </c>
    </row>
    <row customHeight="1" ht="11.25">
      <c r="A12" s="1847" t="s">
        <v>2319</v>
      </c>
      <c r="B12" s="1847" t="s">
        <v>16</v>
      </c>
      <c r="C12" s="0" t="s">
        <v>2357</v>
      </c>
      <c r="D12" s="0" t="s">
        <v>2358</v>
      </c>
      <c r="E12" s="0" t="s">
        <v>2359</v>
      </c>
      <c r="F12" s="0" t="s">
        <v>2338</v>
      </c>
      <c r="G12" s="0" t="s">
        <v>2360</v>
      </c>
      <c r="H12" s="0" t="s">
        <v>22</v>
      </c>
      <c r="I12" s="0" t="s">
        <v>851</v>
      </c>
    </row>
    <row customHeight="1" ht="11.25">
      <c r="A13" s="1847" t="s">
        <v>2319</v>
      </c>
      <c r="B13" s="1847" t="s">
        <v>16</v>
      </c>
      <c r="C13" s="0" t="s">
        <v>2361</v>
      </c>
      <c r="D13" s="0" t="s">
        <v>2362</v>
      </c>
      <c r="E13" s="0" t="s">
        <v>2363</v>
      </c>
      <c r="F13" s="0" t="s">
        <v>2364</v>
      </c>
      <c r="G13" s="0" t="s">
        <v>22</v>
      </c>
      <c r="H13" s="0" t="s">
        <v>22</v>
      </c>
      <c r="I13" s="0" t="s">
        <v>851</v>
      </c>
    </row>
    <row customHeight="1" ht="11.25">
      <c r="A14" s="1847" t="s">
        <v>2319</v>
      </c>
      <c r="B14" s="1847" t="s">
        <v>16</v>
      </c>
      <c r="C14" s="0" t="s">
        <v>2365</v>
      </c>
      <c r="D14" s="0" t="s">
        <v>2366</v>
      </c>
      <c r="E14" s="0" t="s">
        <v>2367</v>
      </c>
      <c r="F14" s="0" t="s">
        <v>2331</v>
      </c>
      <c r="G14" s="0" t="s">
        <v>22</v>
      </c>
      <c r="H14" s="0" t="s">
        <v>22</v>
      </c>
      <c r="I14" s="0" t="s">
        <v>851</v>
      </c>
    </row>
    <row customHeight="1" ht="11.25">
      <c r="A15" s="1847" t="s">
        <v>2319</v>
      </c>
      <c r="B15" s="1847" t="s">
        <v>16</v>
      </c>
      <c r="C15" s="0" t="s">
        <v>2368</v>
      </c>
      <c r="D15" s="0" t="s">
        <v>2369</v>
      </c>
      <c r="E15" s="0" t="s">
        <v>2370</v>
      </c>
      <c r="F15" s="0" t="s">
        <v>2364</v>
      </c>
      <c r="G15" s="0" t="s">
        <v>22</v>
      </c>
      <c r="H15" s="0" t="s">
        <v>22</v>
      </c>
      <c r="I15" s="0" t="s">
        <v>851</v>
      </c>
    </row>
    <row customHeight="1" ht="11.25">
      <c r="A16" s="1847" t="s">
        <v>2319</v>
      </c>
      <c r="B16" s="1847" t="s">
        <v>16</v>
      </c>
      <c r="C16" s="0" t="s">
        <v>2371</v>
      </c>
      <c r="D16" s="0" t="s">
        <v>2372</v>
      </c>
      <c r="E16" s="0" t="s">
        <v>2373</v>
      </c>
      <c r="F16" s="0" t="s">
        <v>2374</v>
      </c>
      <c r="G16" s="0" t="s">
        <v>22</v>
      </c>
      <c r="H16" s="0" t="s">
        <v>22</v>
      </c>
      <c r="I16" s="0" t="s">
        <v>851</v>
      </c>
    </row>
    <row customHeight="1" ht="11.25">
      <c r="A17" s="1847" t="s">
        <v>2319</v>
      </c>
      <c r="B17" s="1847" t="s">
        <v>16</v>
      </c>
      <c r="C17" s="0" t="s">
        <v>2375</v>
      </c>
      <c r="D17" s="0" t="s">
        <v>2376</v>
      </c>
      <c r="E17" s="0" t="s">
        <v>2377</v>
      </c>
      <c r="F17" s="0" t="s">
        <v>2378</v>
      </c>
      <c r="G17" s="0" t="s">
        <v>22</v>
      </c>
      <c r="H17" s="0" t="s">
        <v>22</v>
      </c>
      <c r="I17" s="0" t="s">
        <v>851</v>
      </c>
    </row>
    <row customHeight="1" ht="11.25">
      <c r="A18" s="1847" t="s">
        <v>2319</v>
      </c>
      <c r="B18" s="1847" t="s">
        <v>16</v>
      </c>
      <c r="C18" s="0" t="s">
        <v>2379</v>
      </c>
      <c r="D18" s="0" t="s">
        <v>2380</v>
      </c>
      <c r="E18" s="0" t="s">
        <v>2381</v>
      </c>
      <c r="F18" s="0" t="s">
        <v>2382</v>
      </c>
      <c r="G18" s="0" t="s">
        <v>22</v>
      </c>
      <c r="H18" s="0" t="s">
        <v>22</v>
      </c>
      <c r="I18" s="0" t="s">
        <v>851</v>
      </c>
    </row>
    <row customHeight="1" ht="11.25">
      <c r="A19" s="1847" t="s">
        <v>2319</v>
      </c>
      <c r="B19" s="1847" t="s">
        <v>16</v>
      </c>
      <c r="C19" s="0" t="s">
        <v>2383</v>
      </c>
      <c r="D19" s="0" t="s">
        <v>2384</v>
      </c>
      <c r="E19" s="0" t="s">
        <v>2385</v>
      </c>
      <c r="F19" s="0" t="s">
        <v>2323</v>
      </c>
      <c r="G19" s="0" t="s">
        <v>22</v>
      </c>
      <c r="H19" s="0" t="s">
        <v>22</v>
      </c>
      <c r="I19" s="0" t="s">
        <v>851</v>
      </c>
    </row>
    <row customHeight="1" ht="11.25">
      <c r="A20" s="1847" t="s">
        <v>2319</v>
      </c>
      <c r="B20" s="1847" t="s">
        <v>16</v>
      </c>
      <c r="C20" s="0" t="s">
        <v>2386</v>
      </c>
      <c r="D20" s="0" t="s">
        <v>2387</v>
      </c>
      <c r="E20" s="0" t="s">
        <v>2388</v>
      </c>
      <c r="F20" s="0" t="s">
        <v>2389</v>
      </c>
      <c r="G20" s="0" t="s">
        <v>2390</v>
      </c>
      <c r="H20" s="0" t="s">
        <v>22</v>
      </c>
      <c r="I20" s="0" t="s">
        <v>851</v>
      </c>
    </row>
    <row customHeight="1" ht="11.25">
      <c r="A21" s="1847" t="s">
        <v>2319</v>
      </c>
      <c r="B21" s="1847" t="s">
        <v>16</v>
      </c>
      <c r="C21" s="0" t="s">
        <v>2391</v>
      </c>
      <c r="D21" s="0" t="s">
        <v>2392</v>
      </c>
      <c r="E21" s="0" t="s">
        <v>2393</v>
      </c>
      <c r="F21" s="0" t="s">
        <v>2346</v>
      </c>
      <c r="G21" s="0" t="s">
        <v>22</v>
      </c>
      <c r="H21" s="0" t="s">
        <v>22</v>
      </c>
      <c r="I21" s="0" t="s">
        <v>851</v>
      </c>
    </row>
    <row customHeight="1" ht="11.25">
      <c r="A22" s="1847" t="s">
        <v>2319</v>
      </c>
      <c r="B22" s="1847" t="s">
        <v>16</v>
      </c>
      <c r="C22" s="0" t="s">
        <v>2394</v>
      </c>
      <c r="D22" s="0" t="s">
        <v>2395</v>
      </c>
      <c r="E22" s="0" t="s">
        <v>2396</v>
      </c>
      <c r="F22" s="0" t="s">
        <v>2397</v>
      </c>
      <c r="G22" s="0" t="s">
        <v>2398</v>
      </c>
      <c r="H22" s="0" t="s">
        <v>22</v>
      </c>
      <c r="I22" s="0" t="s">
        <v>851</v>
      </c>
    </row>
    <row customHeight="1" ht="11.25">
      <c r="A23" s="1847" t="s">
        <v>2319</v>
      </c>
      <c r="B23" s="1847" t="s">
        <v>16</v>
      </c>
      <c r="C23" s="0" t="s">
        <v>2399</v>
      </c>
      <c r="D23" s="0" t="s">
        <v>2400</v>
      </c>
      <c r="E23" s="0" t="s">
        <v>2401</v>
      </c>
      <c r="F23" s="0" t="s">
        <v>2342</v>
      </c>
      <c r="G23" s="0" t="s">
        <v>22</v>
      </c>
      <c r="H23" s="0" t="s">
        <v>22</v>
      </c>
      <c r="I23" s="0" t="s">
        <v>851</v>
      </c>
    </row>
    <row customHeight="1" ht="11.25">
      <c r="A24" s="1847" t="s">
        <v>2319</v>
      </c>
      <c r="B24" s="1847" t="s">
        <v>16</v>
      </c>
      <c r="C24" s="0" t="s">
        <v>2402</v>
      </c>
      <c r="D24" s="0" t="s">
        <v>2403</v>
      </c>
      <c r="E24" s="0" t="s">
        <v>2404</v>
      </c>
      <c r="F24" s="0" t="s">
        <v>2331</v>
      </c>
      <c r="G24" s="0" t="s">
        <v>2405</v>
      </c>
      <c r="H24" s="0" t="s">
        <v>22</v>
      </c>
      <c r="I24" s="0" t="s">
        <v>851</v>
      </c>
    </row>
    <row customHeight="1" ht="11.25">
      <c r="A25" s="1847" t="s">
        <v>2319</v>
      </c>
      <c r="B25" s="1847" t="s">
        <v>16</v>
      </c>
      <c r="C25" s="0" t="s">
        <v>2406</v>
      </c>
      <c r="D25" s="0" t="s">
        <v>2403</v>
      </c>
      <c r="E25" s="0" t="s">
        <v>2407</v>
      </c>
      <c r="F25" s="0" t="s">
        <v>2408</v>
      </c>
      <c r="G25" s="0" t="s">
        <v>2409</v>
      </c>
      <c r="H25" s="0" t="s">
        <v>22</v>
      </c>
      <c r="I25" s="0" t="s">
        <v>851</v>
      </c>
    </row>
    <row customHeight="1" ht="11.25">
      <c r="A26" s="1847" t="s">
        <v>2319</v>
      </c>
      <c r="B26" s="1847" t="s">
        <v>16</v>
      </c>
      <c r="C26" s="0" t="s">
        <v>2410</v>
      </c>
      <c r="D26" s="0" t="s">
        <v>2411</v>
      </c>
      <c r="E26" s="0" t="s">
        <v>2412</v>
      </c>
      <c r="F26" s="0" t="s">
        <v>2408</v>
      </c>
      <c r="G26" s="0" t="s">
        <v>2413</v>
      </c>
      <c r="H26" s="0" t="s">
        <v>22</v>
      </c>
      <c r="I26" s="0" t="s">
        <v>851</v>
      </c>
    </row>
    <row customHeight="1" ht="11.25">
      <c r="A27" s="1847" t="s">
        <v>2319</v>
      </c>
      <c r="B27" s="1847" t="s">
        <v>16</v>
      </c>
      <c r="C27" s="0" t="s">
        <v>2414</v>
      </c>
      <c r="D27" s="0" t="s">
        <v>2415</v>
      </c>
      <c r="E27" s="0" t="s">
        <v>2416</v>
      </c>
      <c r="F27" s="0" t="s">
        <v>2397</v>
      </c>
      <c r="G27" s="0" t="s">
        <v>22</v>
      </c>
      <c r="H27" s="0" t="s">
        <v>22</v>
      </c>
      <c r="I27" s="0" t="s">
        <v>851</v>
      </c>
    </row>
    <row customHeight="1" ht="11.25">
      <c r="A28" s="1847" t="s">
        <v>2319</v>
      </c>
      <c r="B28" s="1847" t="s">
        <v>16</v>
      </c>
      <c r="C28" s="0" t="s">
        <v>2417</v>
      </c>
      <c r="D28" s="0" t="s">
        <v>2418</v>
      </c>
      <c r="E28" s="0" t="s">
        <v>2419</v>
      </c>
      <c r="F28" s="0" t="s">
        <v>2420</v>
      </c>
      <c r="G28" s="0" t="s">
        <v>22</v>
      </c>
      <c r="H28" s="0" t="s">
        <v>22</v>
      </c>
      <c r="I28" s="0" t="s">
        <v>851</v>
      </c>
    </row>
    <row customHeight="1" ht="11.25">
      <c r="A29" s="1847" t="s">
        <v>2319</v>
      </c>
      <c r="B29" s="1847" t="s">
        <v>16</v>
      </c>
      <c r="C29" s="0" t="s">
        <v>2421</v>
      </c>
      <c r="D29" s="0" t="s">
        <v>2422</v>
      </c>
      <c r="E29" s="0" t="s">
        <v>2423</v>
      </c>
      <c r="F29" s="0" t="s">
        <v>2364</v>
      </c>
      <c r="G29" s="0" t="s">
        <v>2424</v>
      </c>
      <c r="H29" s="0" t="s">
        <v>2425</v>
      </c>
      <c r="I29" s="0" t="s">
        <v>851</v>
      </c>
    </row>
    <row customHeight="1" ht="11.25">
      <c r="A30" s="1847" t="s">
        <v>2319</v>
      </c>
      <c r="B30" s="1847" t="s">
        <v>16</v>
      </c>
      <c r="C30" s="0" t="s">
        <v>2426</v>
      </c>
      <c r="D30" s="0" t="s">
        <v>2427</v>
      </c>
      <c r="E30" s="0" t="s">
        <v>2428</v>
      </c>
      <c r="F30" s="0" t="s">
        <v>2397</v>
      </c>
      <c r="G30" s="0" t="s">
        <v>2429</v>
      </c>
      <c r="H30" s="0" t="s">
        <v>22</v>
      </c>
      <c r="I30" s="0" t="s">
        <v>851</v>
      </c>
    </row>
    <row customHeight="1" ht="11.25">
      <c r="A31" s="1847" t="s">
        <v>2319</v>
      </c>
      <c r="B31" s="1847" t="s">
        <v>16</v>
      </c>
      <c r="C31" s="0" t="s">
        <v>2430</v>
      </c>
      <c r="D31" s="0" t="s">
        <v>2431</v>
      </c>
      <c r="E31" s="0" t="s">
        <v>2432</v>
      </c>
      <c r="F31" s="0" t="s">
        <v>2364</v>
      </c>
      <c r="G31" s="0" t="s">
        <v>2433</v>
      </c>
      <c r="H31" s="0" t="s">
        <v>22</v>
      </c>
      <c r="I31" s="0" t="s">
        <v>851</v>
      </c>
    </row>
    <row customHeight="1" ht="11.25">
      <c r="A32" s="1847" t="s">
        <v>2319</v>
      </c>
      <c r="B32" s="1847" t="s">
        <v>16</v>
      </c>
      <c r="C32" s="0" t="s">
        <v>2434</v>
      </c>
      <c r="D32" s="0" t="s">
        <v>2435</v>
      </c>
      <c r="E32" s="0" t="s">
        <v>2436</v>
      </c>
      <c r="F32" s="0" t="s">
        <v>2408</v>
      </c>
      <c r="G32" s="0" t="s">
        <v>2437</v>
      </c>
      <c r="H32" s="0" t="s">
        <v>22</v>
      </c>
      <c r="I32" s="0" t="s">
        <v>851</v>
      </c>
    </row>
    <row customHeight="1" ht="11.25">
      <c r="A33" s="1847" t="s">
        <v>2319</v>
      </c>
      <c r="B33" s="1847" t="s">
        <v>16</v>
      </c>
      <c r="C33" s="0" t="s">
        <v>2438</v>
      </c>
      <c r="D33" s="0" t="s">
        <v>2439</v>
      </c>
      <c r="E33" s="0" t="s">
        <v>2440</v>
      </c>
      <c r="F33" s="0" t="s">
        <v>2338</v>
      </c>
      <c r="G33" s="0" t="s">
        <v>2441</v>
      </c>
      <c r="H33" s="0" t="s">
        <v>22</v>
      </c>
      <c r="I33" s="0" t="s">
        <v>851</v>
      </c>
    </row>
    <row customHeight="1" ht="11.25">
      <c r="A34" s="1847" t="s">
        <v>2319</v>
      </c>
      <c r="B34" s="1847" t="s">
        <v>16</v>
      </c>
      <c r="C34" s="0" t="s">
        <v>2442</v>
      </c>
      <c r="D34" s="0" t="s">
        <v>2443</v>
      </c>
      <c r="E34" s="0" t="s">
        <v>2444</v>
      </c>
      <c r="F34" s="0" t="s">
        <v>2445</v>
      </c>
      <c r="G34" s="0" t="s">
        <v>22</v>
      </c>
      <c r="H34" s="0" t="s">
        <v>22</v>
      </c>
      <c r="I34" s="0" t="s">
        <v>851</v>
      </c>
    </row>
    <row customHeight="1" ht="11.25">
      <c r="A35" s="1847" t="s">
        <v>2319</v>
      </c>
      <c r="B35" s="1847" t="s">
        <v>16</v>
      </c>
      <c r="C35" s="0" t="s">
        <v>2446</v>
      </c>
      <c r="D35" s="0" t="s">
        <v>2447</v>
      </c>
      <c r="E35" s="0" t="s">
        <v>2448</v>
      </c>
      <c r="F35" s="0" t="s">
        <v>2342</v>
      </c>
      <c r="G35" s="0" t="s">
        <v>22</v>
      </c>
      <c r="H35" s="0" t="s">
        <v>22</v>
      </c>
      <c r="I35" s="0" t="s">
        <v>851</v>
      </c>
    </row>
    <row customHeight="1" ht="11.25">
      <c r="A36" s="1847" t="s">
        <v>2319</v>
      </c>
      <c r="B36" s="1847" t="s">
        <v>16</v>
      </c>
      <c r="C36" s="0" t="s">
        <v>13</v>
      </c>
      <c r="D36" s="0" t="s">
        <v>46</v>
      </c>
      <c r="E36" s="0" t="s">
        <v>49</v>
      </c>
      <c r="F36" s="0" t="s">
        <v>51</v>
      </c>
      <c r="G36" s="0" t="s">
        <v>22</v>
      </c>
      <c r="H36" s="0" t="s">
        <v>22</v>
      </c>
      <c r="I36" s="0" t="s">
        <v>851</v>
      </c>
    </row>
    <row customHeight="1" ht="11.25">
      <c r="A37" s="1847" t="s">
        <v>2319</v>
      </c>
      <c r="B37" s="1847" t="s">
        <v>16</v>
      </c>
      <c r="C37" s="0" t="s">
        <v>2449</v>
      </c>
      <c r="D37" s="0" t="s">
        <v>2450</v>
      </c>
      <c r="E37" s="0" t="s">
        <v>2451</v>
      </c>
      <c r="F37" s="0" t="s">
        <v>2452</v>
      </c>
      <c r="G37" s="0" t="s">
        <v>22</v>
      </c>
      <c r="H37" s="0" t="s">
        <v>22</v>
      </c>
      <c r="I37" s="0" t="s">
        <v>851</v>
      </c>
    </row>
    <row customHeight="1" ht="11.25">
      <c r="A38" s="1847" t="s">
        <v>2319</v>
      </c>
      <c r="B38" s="1847" t="s">
        <v>16</v>
      </c>
      <c r="C38" s="0" t="s">
        <v>2453</v>
      </c>
      <c r="D38" s="0" t="s">
        <v>2454</v>
      </c>
      <c r="E38" s="0" t="s">
        <v>2455</v>
      </c>
      <c r="F38" s="0" t="s">
        <v>2342</v>
      </c>
      <c r="G38" s="0" t="s">
        <v>22</v>
      </c>
      <c r="H38" s="0" t="s">
        <v>22</v>
      </c>
      <c r="I38" s="0" t="s">
        <v>851</v>
      </c>
    </row>
    <row customHeight="1" ht="11.25">
      <c r="A39" s="1847" t="s">
        <v>2319</v>
      </c>
      <c r="B39" s="1847" t="s">
        <v>16</v>
      </c>
      <c r="C39" s="0" t="s">
        <v>2456</v>
      </c>
      <c r="D39" s="0" t="s">
        <v>2457</v>
      </c>
      <c r="E39" s="0" t="s">
        <v>2458</v>
      </c>
      <c r="F39" s="0" t="s">
        <v>2382</v>
      </c>
      <c r="G39" s="0" t="s">
        <v>22</v>
      </c>
      <c r="H39" s="0" t="s">
        <v>22</v>
      </c>
      <c r="I39" s="0" t="s">
        <v>851</v>
      </c>
    </row>
    <row customHeight="1" ht="11.25">
      <c r="A40" s="1847" t="s">
        <v>2319</v>
      </c>
      <c r="B40" s="1847" t="s">
        <v>16</v>
      </c>
      <c r="C40" s="0" t="s">
        <v>2459</v>
      </c>
      <c r="D40" s="0" t="s">
        <v>2460</v>
      </c>
      <c r="E40" s="0" t="s">
        <v>2352</v>
      </c>
      <c r="F40" s="0" t="s">
        <v>2461</v>
      </c>
      <c r="G40" s="0" t="s">
        <v>22</v>
      </c>
      <c r="H40" s="0" t="s">
        <v>22</v>
      </c>
      <c r="I40" s="0" t="s">
        <v>851</v>
      </c>
    </row>
    <row customHeight="1" ht="11.25">
      <c r="A41" s="1847" t="s">
        <v>2319</v>
      </c>
      <c r="B41" s="1847" t="s">
        <v>16</v>
      </c>
      <c r="C41" s="0" t="s">
        <v>2462</v>
      </c>
      <c r="D41" s="0" t="s">
        <v>2463</v>
      </c>
      <c r="E41" s="0" t="s">
        <v>2464</v>
      </c>
      <c r="F41" s="0" t="s">
        <v>2408</v>
      </c>
      <c r="G41" s="0" t="s">
        <v>2465</v>
      </c>
      <c r="H41" s="0" t="s">
        <v>22</v>
      </c>
      <c r="I41" s="0" t="s">
        <v>851</v>
      </c>
    </row>
    <row customHeight="1" ht="11.25">
      <c r="A42" s="1847" t="s">
        <v>2319</v>
      </c>
      <c r="B42" s="1847" t="s">
        <v>16</v>
      </c>
      <c r="C42" s="0" t="s">
        <v>2466</v>
      </c>
      <c r="D42" s="0" t="s">
        <v>2467</v>
      </c>
      <c r="E42" s="0" t="s">
        <v>2468</v>
      </c>
      <c r="F42" s="0" t="s">
        <v>2469</v>
      </c>
      <c r="G42" s="0" t="s">
        <v>2470</v>
      </c>
      <c r="H42" s="0" t="s">
        <v>22</v>
      </c>
      <c r="I42" s="0" t="s">
        <v>851</v>
      </c>
    </row>
    <row customHeight="1" ht="11.25">
      <c r="A43" s="1847" t="s">
        <v>2319</v>
      </c>
      <c r="B43" s="1847" t="s">
        <v>16</v>
      </c>
      <c r="C43" s="0" t="s">
        <v>2471</v>
      </c>
      <c r="D43" s="0" t="s">
        <v>2472</v>
      </c>
      <c r="E43" s="0" t="s">
        <v>2473</v>
      </c>
      <c r="F43" s="0" t="s">
        <v>2474</v>
      </c>
      <c r="G43" s="0" t="s">
        <v>2475</v>
      </c>
      <c r="H43" s="0" t="s">
        <v>22</v>
      </c>
      <c r="I43" s="0" t="s">
        <v>851</v>
      </c>
    </row>
    <row customHeight="1" ht="11.25">
      <c r="A44" s="1847" t="s">
        <v>2319</v>
      </c>
      <c r="B44" s="1847" t="s">
        <v>16</v>
      </c>
      <c r="C44" s="0" t="s">
        <v>2476</v>
      </c>
      <c r="D44" s="0" t="s">
        <v>2477</v>
      </c>
      <c r="E44" s="0" t="s">
        <v>2478</v>
      </c>
      <c r="F44" s="0" t="s">
        <v>2323</v>
      </c>
      <c r="G44" s="0" t="s">
        <v>22</v>
      </c>
      <c r="H44" s="0" t="s">
        <v>22</v>
      </c>
      <c r="I44" s="0" t="s">
        <v>851</v>
      </c>
    </row>
    <row customHeight="1" ht="11.25">
      <c r="A45" s="1847" t="s">
        <v>2319</v>
      </c>
      <c r="B45" s="1847" t="s">
        <v>16</v>
      </c>
      <c r="C45" s="0" t="s">
        <v>2479</v>
      </c>
      <c r="D45" s="0" t="s">
        <v>2477</v>
      </c>
      <c r="E45" s="0" t="s">
        <v>2478</v>
      </c>
      <c r="F45" s="0" t="s">
        <v>2480</v>
      </c>
      <c r="G45" s="0" t="s">
        <v>22</v>
      </c>
      <c r="H45" s="0" t="s">
        <v>22</v>
      </c>
      <c r="I45" s="0" t="s">
        <v>851</v>
      </c>
    </row>
    <row customHeight="1" ht="11.25">
      <c r="A46" s="1847" t="s">
        <v>2319</v>
      </c>
      <c r="B46" s="1847" t="s">
        <v>16</v>
      </c>
      <c r="C46" s="0" t="s">
        <v>2481</v>
      </c>
      <c r="D46" s="0" t="s">
        <v>2482</v>
      </c>
      <c r="E46" s="0" t="s">
        <v>2483</v>
      </c>
      <c r="F46" s="0" t="s">
        <v>2364</v>
      </c>
      <c r="G46" s="0" t="s">
        <v>22</v>
      </c>
      <c r="H46" s="0" t="s">
        <v>22</v>
      </c>
      <c r="I46" s="0" t="s">
        <v>851</v>
      </c>
    </row>
    <row customHeight="1" ht="11.25">
      <c r="A47" s="1847" t="s">
        <v>2319</v>
      </c>
      <c r="B47" s="1847" t="s">
        <v>16</v>
      </c>
      <c r="C47" s="0" t="s">
        <v>2484</v>
      </c>
      <c r="D47" s="0" t="s">
        <v>2485</v>
      </c>
      <c r="E47" s="0" t="s">
        <v>2486</v>
      </c>
      <c r="F47" s="0" t="s">
        <v>2474</v>
      </c>
      <c r="G47" s="0" t="s">
        <v>2487</v>
      </c>
      <c r="H47" s="0" t="s">
        <v>22</v>
      </c>
      <c r="I47" s="0" t="s">
        <v>851</v>
      </c>
    </row>
    <row customHeight="1" ht="11.25">
      <c r="A48" s="1847" t="s">
        <v>2319</v>
      </c>
      <c r="B48" s="1847" t="s">
        <v>16</v>
      </c>
      <c r="C48" s="0" t="s">
        <v>2488</v>
      </c>
      <c r="D48" s="0" t="s">
        <v>2489</v>
      </c>
      <c r="E48" s="0" t="s">
        <v>2490</v>
      </c>
      <c r="F48" s="0" t="s">
        <v>2342</v>
      </c>
      <c r="G48" s="0" t="s">
        <v>22</v>
      </c>
      <c r="H48" s="0" t="s">
        <v>22</v>
      </c>
      <c r="I48" s="0" t="s">
        <v>851</v>
      </c>
    </row>
    <row customHeight="1" ht="11.25">
      <c r="A49" s="1847" t="s">
        <v>2319</v>
      </c>
      <c r="B49" s="1847" t="s">
        <v>16</v>
      </c>
      <c r="C49" s="0" t="s">
        <v>2491</v>
      </c>
      <c r="D49" s="0" t="s">
        <v>2492</v>
      </c>
      <c r="E49" s="0" t="s">
        <v>2493</v>
      </c>
      <c r="F49" s="0" t="s">
        <v>2323</v>
      </c>
      <c r="G49" s="0" t="s">
        <v>22</v>
      </c>
      <c r="H49" s="0" t="s">
        <v>22</v>
      </c>
      <c r="I49" s="0" t="s">
        <v>851</v>
      </c>
    </row>
    <row customHeight="1" ht="11.25">
      <c r="A50" s="1847" t="s">
        <v>2319</v>
      </c>
      <c r="B50" s="1847" t="s">
        <v>16</v>
      </c>
      <c r="C50" s="0" t="s">
        <v>2494</v>
      </c>
      <c r="D50" s="0" t="s">
        <v>2495</v>
      </c>
      <c r="E50" s="0" t="s">
        <v>2496</v>
      </c>
      <c r="F50" s="0" t="s">
        <v>2469</v>
      </c>
      <c r="G50" s="0" t="s">
        <v>22</v>
      </c>
      <c r="H50" s="0" t="s">
        <v>22</v>
      </c>
      <c r="I50" s="0" t="s">
        <v>851</v>
      </c>
    </row>
    <row customHeight="1" ht="11.25">
      <c r="A51" s="1847" t="s">
        <v>2319</v>
      </c>
      <c r="B51" s="1847" t="s">
        <v>16</v>
      </c>
      <c r="C51" s="0" t="s">
        <v>2497</v>
      </c>
      <c r="D51" s="0" t="s">
        <v>2498</v>
      </c>
      <c r="E51" s="0" t="s">
        <v>2499</v>
      </c>
      <c r="F51" s="0" t="s">
        <v>2397</v>
      </c>
      <c r="G51" s="0" t="s">
        <v>22</v>
      </c>
      <c r="H51" s="0" t="s">
        <v>22</v>
      </c>
      <c r="I51" s="0" t="s">
        <v>851</v>
      </c>
    </row>
    <row customHeight="1" ht="11.25">
      <c r="A52" s="1847" t="s">
        <v>2319</v>
      </c>
      <c r="B52" s="1847" t="s">
        <v>16</v>
      </c>
      <c r="C52" s="0" t="s">
        <v>2500</v>
      </c>
      <c r="D52" s="0" t="s">
        <v>2501</v>
      </c>
      <c r="E52" s="0" t="s">
        <v>2502</v>
      </c>
      <c r="F52" s="0" t="s">
        <v>2323</v>
      </c>
      <c r="G52" s="0" t="s">
        <v>22</v>
      </c>
      <c r="H52" s="0" t="s">
        <v>22</v>
      </c>
      <c r="I52" s="0" t="s">
        <v>851</v>
      </c>
    </row>
    <row customHeight="1" ht="11.25">
      <c r="A53" s="1847" t="s">
        <v>2319</v>
      </c>
      <c r="B53" s="1847" t="s">
        <v>16</v>
      </c>
      <c r="C53" s="0" t="s">
        <v>2503</v>
      </c>
      <c r="D53" s="0" t="s">
        <v>2504</v>
      </c>
      <c r="E53" s="0" t="s">
        <v>2505</v>
      </c>
      <c r="F53" s="0" t="s">
        <v>2378</v>
      </c>
      <c r="G53" s="0" t="s">
        <v>2506</v>
      </c>
      <c r="H53" s="0" t="s">
        <v>2507</v>
      </c>
      <c r="I53" s="0" t="s">
        <v>851</v>
      </c>
    </row>
    <row customHeight="1" ht="11.25">
      <c r="A54" s="1847" t="s">
        <v>2319</v>
      </c>
      <c r="B54" s="1847" t="s">
        <v>16</v>
      </c>
      <c r="C54" s="0" t="s">
        <v>2508</v>
      </c>
      <c r="D54" s="0" t="s">
        <v>2509</v>
      </c>
      <c r="E54" s="0" t="s">
        <v>2510</v>
      </c>
      <c r="F54" s="0" t="s">
        <v>2378</v>
      </c>
      <c r="G54" s="0" t="s">
        <v>22</v>
      </c>
      <c r="H54" s="0" t="s">
        <v>22</v>
      </c>
      <c r="I54" s="0" t="s">
        <v>851</v>
      </c>
    </row>
    <row customHeight="1" ht="11.25">
      <c r="A55" s="1847" t="s">
        <v>2319</v>
      </c>
      <c r="B55" s="1847" t="s">
        <v>16</v>
      </c>
      <c r="C55" s="0" t="s">
        <v>2511</v>
      </c>
      <c r="D55" s="0" t="s">
        <v>2512</v>
      </c>
      <c r="E55" s="0" t="s">
        <v>2513</v>
      </c>
      <c r="F55" s="0" t="s">
        <v>2514</v>
      </c>
      <c r="G55" s="0" t="s">
        <v>22</v>
      </c>
      <c r="H55" s="0" t="s">
        <v>22</v>
      </c>
      <c r="I55" s="0" t="s">
        <v>851</v>
      </c>
    </row>
    <row customHeight="1" ht="11.25">
      <c r="A56" s="1847" t="s">
        <v>2319</v>
      </c>
      <c r="B56" s="1847" t="s">
        <v>16</v>
      </c>
      <c r="C56" s="0" t="s">
        <v>2515</v>
      </c>
      <c r="D56" s="0" t="s">
        <v>2516</v>
      </c>
      <c r="E56" s="0" t="s">
        <v>2517</v>
      </c>
      <c r="F56" s="0" t="s">
        <v>2342</v>
      </c>
      <c r="G56" s="0" t="s">
        <v>22</v>
      </c>
      <c r="H56" s="0" t="s">
        <v>22</v>
      </c>
      <c r="I56" s="0" t="s">
        <v>851</v>
      </c>
    </row>
    <row customHeight="1" ht="11.25">
      <c r="A57" s="1847" t="s">
        <v>2319</v>
      </c>
      <c r="B57" s="1847" t="s">
        <v>16</v>
      </c>
      <c r="C57" s="0" t="s">
        <v>2518</v>
      </c>
      <c r="D57" s="0" t="s">
        <v>2519</v>
      </c>
      <c r="E57" s="0" t="s">
        <v>2520</v>
      </c>
      <c r="F57" s="0" t="s">
        <v>2323</v>
      </c>
      <c r="G57" s="0" t="s">
        <v>22</v>
      </c>
      <c r="H57" s="0" t="s">
        <v>22</v>
      </c>
      <c r="I57" s="0" t="s">
        <v>851</v>
      </c>
    </row>
    <row customHeight="1" ht="11.25">
      <c r="A58" s="1847" t="s">
        <v>2319</v>
      </c>
      <c r="B58" s="1847" t="s">
        <v>16</v>
      </c>
      <c r="C58" s="0" t="s">
        <v>2521</v>
      </c>
      <c r="D58" s="0" t="s">
        <v>2522</v>
      </c>
      <c r="E58" s="0" t="s">
        <v>2523</v>
      </c>
      <c r="F58" s="0" t="s">
        <v>2331</v>
      </c>
      <c r="G58" s="0" t="s">
        <v>22</v>
      </c>
      <c r="H58" s="0" t="s">
        <v>22</v>
      </c>
      <c r="I58" s="0" t="s">
        <v>851</v>
      </c>
    </row>
    <row customHeight="1" ht="11.25">
      <c r="A59" s="1847" t="s">
        <v>2319</v>
      </c>
      <c r="B59" s="1847" t="s">
        <v>16</v>
      </c>
      <c r="C59" s="0" t="s">
        <v>2524</v>
      </c>
      <c r="D59" s="0" t="s">
        <v>2525</v>
      </c>
      <c r="E59" s="0" t="s">
        <v>2526</v>
      </c>
      <c r="F59" s="0" t="s">
        <v>2323</v>
      </c>
      <c r="G59" s="0" t="s">
        <v>2527</v>
      </c>
      <c r="H59" s="0" t="s">
        <v>22</v>
      </c>
      <c r="I59" s="0" t="s">
        <v>851</v>
      </c>
    </row>
    <row customHeight="1" ht="11.25">
      <c r="A60" s="1847" t="s">
        <v>2319</v>
      </c>
      <c r="B60" s="1847" t="s">
        <v>16</v>
      </c>
      <c r="C60" s="0" t="s">
        <v>2528</v>
      </c>
      <c r="D60" s="0" t="s">
        <v>2529</v>
      </c>
      <c r="E60" s="0" t="s">
        <v>2530</v>
      </c>
      <c r="F60" s="0" t="s">
        <v>2331</v>
      </c>
      <c r="G60" s="0" t="s">
        <v>22</v>
      </c>
      <c r="H60" s="0" t="s">
        <v>22</v>
      </c>
      <c r="I60" s="0" t="s">
        <v>851</v>
      </c>
    </row>
    <row customHeight="1" ht="11.25">
      <c r="A61" s="1847" t="s">
        <v>2319</v>
      </c>
      <c r="B61" s="1847" t="s">
        <v>16</v>
      </c>
      <c r="C61" s="0" t="s">
        <v>2531</v>
      </c>
      <c r="D61" s="0" t="s">
        <v>2532</v>
      </c>
      <c r="E61" s="0" t="s">
        <v>2533</v>
      </c>
      <c r="F61" s="0" t="s">
        <v>2331</v>
      </c>
      <c r="G61" s="0" t="s">
        <v>22</v>
      </c>
      <c r="H61" s="0" t="s">
        <v>22</v>
      </c>
      <c r="I61" s="0" t="s">
        <v>851</v>
      </c>
    </row>
    <row customHeight="1" ht="11.25">
      <c r="A62" s="1847" t="s">
        <v>2319</v>
      </c>
      <c r="B62" s="1847" t="s">
        <v>16</v>
      </c>
      <c r="C62" s="0" t="s">
        <v>2534</v>
      </c>
      <c r="D62" s="0" t="s">
        <v>2535</v>
      </c>
      <c r="E62" s="0" t="s">
        <v>2536</v>
      </c>
      <c r="F62" s="0" t="s">
        <v>2323</v>
      </c>
      <c r="G62" s="0" t="s">
        <v>2537</v>
      </c>
      <c r="H62" s="0" t="s">
        <v>22</v>
      </c>
      <c r="I62" s="0" t="s">
        <v>851</v>
      </c>
    </row>
    <row customHeight="1" ht="11.25">
      <c r="A63" s="1847" t="s">
        <v>2319</v>
      </c>
      <c r="B63" s="1847" t="s">
        <v>16</v>
      </c>
      <c r="C63" s="0" t="s">
        <v>2538</v>
      </c>
      <c r="D63" s="0" t="s">
        <v>2539</v>
      </c>
      <c r="E63" s="0" t="s">
        <v>2540</v>
      </c>
      <c r="F63" s="0" t="s">
        <v>2408</v>
      </c>
      <c r="G63" s="0" t="s">
        <v>22</v>
      </c>
      <c r="H63" s="0" t="s">
        <v>22</v>
      </c>
      <c r="I63" s="0" t="s">
        <v>851</v>
      </c>
    </row>
    <row customHeight="1" ht="11.25">
      <c r="A64" s="1847" t="s">
        <v>2319</v>
      </c>
      <c r="B64" s="1847" t="s">
        <v>16</v>
      </c>
      <c r="C64" s="0" t="s">
        <v>2541</v>
      </c>
      <c r="D64" s="0" t="s">
        <v>2542</v>
      </c>
      <c r="E64" s="0" t="s">
        <v>2543</v>
      </c>
      <c r="F64" s="0" t="s">
        <v>2331</v>
      </c>
      <c r="G64" s="0" t="s">
        <v>22</v>
      </c>
      <c r="H64" s="0" t="s">
        <v>22</v>
      </c>
      <c r="I64" s="0" t="s">
        <v>851</v>
      </c>
    </row>
    <row customHeight="1" ht="11.25">
      <c r="A65" s="1847" t="s">
        <v>2319</v>
      </c>
      <c r="B65" s="1847" t="s">
        <v>16</v>
      </c>
      <c r="C65" s="0" t="s">
        <v>2544</v>
      </c>
      <c r="D65" s="0" t="s">
        <v>2545</v>
      </c>
      <c r="E65" s="0" t="s">
        <v>2546</v>
      </c>
      <c r="F65" s="0" t="s">
        <v>2420</v>
      </c>
      <c r="G65" s="0" t="s">
        <v>22</v>
      </c>
      <c r="H65" s="0" t="s">
        <v>22</v>
      </c>
      <c r="I65" s="0" t="s">
        <v>851</v>
      </c>
    </row>
    <row customHeight="1" ht="11.25">
      <c r="A66" s="1847" t="s">
        <v>2319</v>
      </c>
      <c r="B66" s="1847" t="s">
        <v>16</v>
      </c>
      <c r="C66" s="0" t="s">
        <v>2547</v>
      </c>
      <c r="D66" s="0" t="s">
        <v>2548</v>
      </c>
      <c r="E66" s="0" t="s">
        <v>2549</v>
      </c>
      <c r="F66" s="0" t="s">
        <v>2445</v>
      </c>
      <c r="G66" s="0" t="s">
        <v>2550</v>
      </c>
      <c r="H66" s="0" t="s">
        <v>22</v>
      </c>
      <c r="I66" s="0" t="s">
        <v>851</v>
      </c>
    </row>
    <row customHeight="1" ht="11.25">
      <c r="A67" s="1847" t="s">
        <v>2319</v>
      </c>
      <c r="B67" s="1847" t="s">
        <v>16</v>
      </c>
      <c r="C67" s="0" t="s">
        <v>2551</v>
      </c>
      <c r="D67" s="0" t="s">
        <v>2552</v>
      </c>
      <c r="E67" s="0" t="s">
        <v>2553</v>
      </c>
      <c r="F67" s="0" t="s">
        <v>2323</v>
      </c>
      <c r="G67" s="0" t="s">
        <v>22</v>
      </c>
      <c r="H67" s="0" t="s">
        <v>22</v>
      </c>
      <c r="I67" s="0" t="s">
        <v>851</v>
      </c>
    </row>
    <row customHeight="1" ht="11.25">
      <c r="A68" s="1847" t="s">
        <v>2319</v>
      </c>
      <c r="B68" s="1847" t="s">
        <v>16</v>
      </c>
      <c r="C68" s="0" t="s">
        <v>2554</v>
      </c>
      <c r="D68" s="0" t="s">
        <v>2555</v>
      </c>
      <c r="E68" s="0" t="s">
        <v>2556</v>
      </c>
      <c r="F68" s="0" t="s">
        <v>2382</v>
      </c>
      <c r="G68" s="0" t="s">
        <v>22</v>
      </c>
      <c r="H68" s="0" t="s">
        <v>22</v>
      </c>
      <c r="I68" s="0" t="s">
        <v>851</v>
      </c>
    </row>
    <row customHeight="1" ht="11.25">
      <c r="A69" s="1847" t="s">
        <v>2319</v>
      </c>
      <c r="B69" s="1847" t="s">
        <v>16</v>
      </c>
      <c r="C69" s="0" t="s">
        <v>2557</v>
      </c>
      <c r="D69" s="0" t="s">
        <v>2558</v>
      </c>
      <c r="E69" s="0" t="s">
        <v>2559</v>
      </c>
      <c r="F69" s="0" t="s">
        <v>2323</v>
      </c>
      <c r="G69" s="0" t="s">
        <v>2560</v>
      </c>
      <c r="H69" s="0" t="s">
        <v>22</v>
      </c>
      <c r="I69" s="0" t="s">
        <v>851</v>
      </c>
    </row>
    <row customHeight="1" ht="11.25">
      <c r="A70" s="1847" t="s">
        <v>2319</v>
      </c>
      <c r="B70" s="1847" t="s">
        <v>16</v>
      </c>
      <c r="C70" s="0" t="s">
        <v>2561</v>
      </c>
      <c r="D70" s="0" t="s">
        <v>2562</v>
      </c>
      <c r="E70" s="0" t="s">
        <v>2563</v>
      </c>
      <c r="F70" s="0" t="s">
        <v>2408</v>
      </c>
      <c r="G70" s="0" t="s">
        <v>22</v>
      </c>
      <c r="H70" s="0" t="s">
        <v>22</v>
      </c>
      <c r="I70" s="0" t="s">
        <v>851</v>
      </c>
    </row>
    <row customHeight="1" ht="11.25">
      <c r="A71" s="1847" t="s">
        <v>2319</v>
      </c>
      <c r="B71" s="1847" t="s">
        <v>16</v>
      </c>
      <c r="C71" s="0" t="s">
        <v>2564</v>
      </c>
      <c r="D71" s="0" t="s">
        <v>2565</v>
      </c>
      <c r="E71" s="0" t="s">
        <v>2566</v>
      </c>
      <c r="F71" s="0" t="s">
        <v>2323</v>
      </c>
      <c r="G71" s="0" t="s">
        <v>2567</v>
      </c>
      <c r="H71" s="0" t="s">
        <v>22</v>
      </c>
      <c r="I71" s="0" t="s">
        <v>851</v>
      </c>
    </row>
    <row customHeight="1" ht="11.25">
      <c r="A72" s="1847" t="s">
        <v>2319</v>
      </c>
      <c r="B72" s="1847" t="s">
        <v>16</v>
      </c>
      <c r="C72" s="0" t="s">
        <v>2568</v>
      </c>
      <c r="D72" s="0" t="s">
        <v>2569</v>
      </c>
      <c r="E72" s="0" t="s">
        <v>2570</v>
      </c>
      <c r="F72" s="0" t="s">
        <v>2474</v>
      </c>
      <c r="G72" s="0" t="s">
        <v>22</v>
      </c>
      <c r="H72" s="0" t="s">
        <v>22</v>
      </c>
      <c r="I72" s="0" t="s">
        <v>851</v>
      </c>
    </row>
    <row customHeight="1" ht="11.25">
      <c r="A73" s="1847" t="s">
        <v>2319</v>
      </c>
      <c r="B73" s="1847" t="s">
        <v>16</v>
      </c>
      <c r="C73" s="0" t="s">
        <v>2571</v>
      </c>
      <c r="D73" s="0" t="s">
        <v>2572</v>
      </c>
      <c r="E73" s="0" t="s">
        <v>2573</v>
      </c>
      <c r="F73" s="0" t="s">
        <v>2420</v>
      </c>
      <c r="G73" s="0" t="s">
        <v>2574</v>
      </c>
      <c r="H73" s="0" t="s">
        <v>22</v>
      </c>
      <c r="I73" s="0" t="s">
        <v>851</v>
      </c>
    </row>
    <row customHeight="1" ht="11.25">
      <c r="A74" s="1847" t="s">
        <v>2319</v>
      </c>
      <c r="B74" s="1847" t="s">
        <v>16</v>
      </c>
      <c r="C74" s="0" t="s">
        <v>2575</v>
      </c>
      <c r="D74" s="0" t="s">
        <v>2576</v>
      </c>
      <c r="E74" s="0" t="s">
        <v>2577</v>
      </c>
      <c r="F74" s="0" t="s">
        <v>2420</v>
      </c>
      <c r="G74" s="0" t="s">
        <v>2578</v>
      </c>
      <c r="H74" s="0" t="s">
        <v>22</v>
      </c>
      <c r="I74" s="0" t="s">
        <v>851</v>
      </c>
    </row>
    <row customHeight="1" ht="11.25">
      <c r="A75" s="1847" t="s">
        <v>2319</v>
      </c>
      <c r="B75" s="1847" t="s">
        <v>16</v>
      </c>
      <c r="C75" s="0" t="s">
        <v>2579</v>
      </c>
      <c r="D75" s="0" t="s">
        <v>2580</v>
      </c>
      <c r="E75" s="0" t="s">
        <v>2581</v>
      </c>
      <c r="F75" s="0" t="s">
        <v>2382</v>
      </c>
      <c r="G75" s="0" t="s">
        <v>2582</v>
      </c>
      <c r="H75" s="0" t="s">
        <v>22</v>
      </c>
      <c r="I75" s="0" t="s">
        <v>851</v>
      </c>
    </row>
    <row customHeight="1" ht="11.25">
      <c r="A76" s="1847" t="s">
        <v>2319</v>
      </c>
      <c r="B76" s="1847" t="s">
        <v>16</v>
      </c>
      <c r="C76" s="0" t="s">
        <v>2583</v>
      </c>
      <c r="D76" s="0" t="s">
        <v>2584</v>
      </c>
      <c r="E76" s="0" t="s">
        <v>2585</v>
      </c>
      <c r="F76" s="0" t="s">
        <v>2323</v>
      </c>
      <c r="G76" s="0" t="s">
        <v>22</v>
      </c>
      <c r="H76" s="0" t="s">
        <v>22</v>
      </c>
      <c r="I76" s="0" t="s">
        <v>851</v>
      </c>
    </row>
    <row customHeight="1" ht="11.25">
      <c r="A77" s="1847" t="s">
        <v>2319</v>
      </c>
      <c r="B77" s="1847" t="s">
        <v>16</v>
      </c>
      <c r="C77" s="0" t="s">
        <v>2586</v>
      </c>
      <c r="D77" s="0" t="s">
        <v>2587</v>
      </c>
      <c r="E77" s="0" t="s">
        <v>2588</v>
      </c>
      <c r="F77" s="0" t="s">
        <v>2408</v>
      </c>
      <c r="G77" s="0" t="s">
        <v>22</v>
      </c>
      <c r="H77" s="0" t="s">
        <v>22</v>
      </c>
      <c r="I77" s="0" t="s">
        <v>851</v>
      </c>
    </row>
    <row customHeight="1" ht="11.25">
      <c r="A78" s="1847" t="s">
        <v>2319</v>
      </c>
      <c r="B78" s="1847" t="s">
        <v>16</v>
      </c>
      <c r="C78" s="0" t="s">
        <v>2589</v>
      </c>
      <c r="D78" s="0" t="s">
        <v>2590</v>
      </c>
      <c r="E78" s="0" t="s">
        <v>2591</v>
      </c>
      <c r="F78" s="0" t="s">
        <v>2323</v>
      </c>
      <c r="G78" s="0" t="s">
        <v>22</v>
      </c>
      <c r="H78" s="0" t="s">
        <v>22</v>
      </c>
      <c r="I78" s="0" t="s">
        <v>851</v>
      </c>
    </row>
    <row customHeight="1" ht="11.25">
      <c r="A79" s="1847" t="s">
        <v>2319</v>
      </c>
      <c r="B79" s="1847" t="s">
        <v>16</v>
      </c>
      <c r="C79" s="0" t="s">
        <v>22</v>
      </c>
      <c r="D79" s="0" t="s">
        <v>2592</v>
      </c>
      <c r="E79" s="0" t="s">
        <v>2593</v>
      </c>
      <c r="F79" s="0" t="s">
        <v>2323</v>
      </c>
      <c r="G79" s="0" t="s">
        <v>22</v>
      </c>
      <c r="H79" s="0" t="s">
        <v>22</v>
      </c>
      <c r="I79" s="0" t="s">
        <v>851</v>
      </c>
    </row>
    <row customHeight="1" ht="11.25">
      <c r="A80" s="1847" t="s">
        <v>2319</v>
      </c>
      <c r="B80" s="1847" t="s">
        <v>16</v>
      </c>
      <c r="C80" s="0" t="s">
        <v>2594</v>
      </c>
      <c r="D80" s="0" t="s">
        <v>2595</v>
      </c>
      <c r="E80" s="0" t="s">
        <v>2596</v>
      </c>
      <c r="F80" s="0" t="s">
        <v>2397</v>
      </c>
      <c r="G80" s="0" t="s">
        <v>22</v>
      </c>
      <c r="H80" s="0" t="s">
        <v>22</v>
      </c>
      <c r="I80" s="0" t="s">
        <v>851</v>
      </c>
    </row>
    <row customHeight="1" ht="11.25">
      <c r="A81" s="1847" t="s">
        <v>2319</v>
      </c>
      <c r="B81" s="1847" t="s">
        <v>16</v>
      </c>
      <c r="C81" s="0" t="s">
        <v>2597</v>
      </c>
      <c r="D81" s="0" t="s">
        <v>2598</v>
      </c>
      <c r="E81" s="0" t="s">
        <v>2599</v>
      </c>
      <c r="F81" s="0" t="s">
        <v>2600</v>
      </c>
      <c r="G81" s="0" t="s">
        <v>22</v>
      </c>
      <c r="H81" s="0" t="s">
        <v>22</v>
      </c>
      <c r="I81" s="0" t="s">
        <v>851</v>
      </c>
    </row>
    <row customHeight="1" ht="11.25">
      <c r="A82" s="1847" t="s">
        <v>2319</v>
      </c>
      <c r="B82" s="1847" t="s">
        <v>16</v>
      </c>
      <c r="C82" s="0" t="s">
        <v>2601</v>
      </c>
      <c r="D82" s="0" t="s">
        <v>2602</v>
      </c>
      <c r="E82" s="0" t="s">
        <v>2599</v>
      </c>
      <c r="F82" s="0" t="s">
        <v>2603</v>
      </c>
      <c r="G82" s="0" t="s">
        <v>2604</v>
      </c>
      <c r="H82" s="0" t="s">
        <v>22</v>
      </c>
      <c r="I82" s="0" t="s">
        <v>851</v>
      </c>
    </row>
    <row customHeight="1" ht="11.25">
      <c r="A83" s="1847" t="s">
        <v>2319</v>
      </c>
      <c r="B83" s="1847" t="s">
        <v>16</v>
      </c>
      <c r="C83" s="0" t="s">
        <v>2605</v>
      </c>
      <c r="D83" s="0" t="s">
        <v>2606</v>
      </c>
      <c r="E83" s="0" t="s">
        <v>2607</v>
      </c>
      <c r="F83" s="0" t="s">
        <v>2608</v>
      </c>
      <c r="G83" s="0" t="s">
        <v>22</v>
      </c>
      <c r="H83" s="0" t="s">
        <v>22</v>
      </c>
      <c r="I83" s="0" t="s">
        <v>851</v>
      </c>
    </row>
    <row customHeight="1" ht="11.25">
      <c r="A84" s="1847" t="s">
        <v>2319</v>
      </c>
      <c r="B84" s="1847" t="s">
        <v>16</v>
      </c>
      <c r="C84" s="0" t="s">
        <v>2609</v>
      </c>
      <c r="D84" s="0" t="s">
        <v>2610</v>
      </c>
      <c r="E84" s="0" t="s">
        <v>2607</v>
      </c>
      <c r="F84" s="0" t="s">
        <v>2611</v>
      </c>
      <c r="G84" s="0" t="s">
        <v>22</v>
      </c>
      <c r="H84" s="0" t="s">
        <v>22</v>
      </c>
      <c r="I84" s="0" t="s">
        <v>851</v>
      </c>
    </row>
    <row customHeight="1" ht="11.25">
      <c r="A85" s="1847" t="s">
        <v>2319</v>
      </c>
      <c r="B85" s="1847" t="s">
        <v>16</v>
      </c>
      <c r="C85" s="0" t="s">
        <v>2612</v>
      </c>
      <c r="D85" s="0" t="s">
        <v>2613</v>
      </c>
      <c r="E85" s="0" t="s">
        <v>2614</v>
      </c>
      <c r="F85" s="0" t="s">
        <v>2615</v>
      </c>
      <c r="G85" s="0" t="s">
        <v>22</v>
      </c>
      <c r="H85" s="0" t="s">
        <v>22</v>
      </c>
      <c r="I85" s="0" t="s">
        <v>851</v>
      </c>
    </row>
    <row customHeight="1" ht="11.25">
      <c r="A86" s="1847" t="s">
        <v>2319</v>
      </c>
      <c r="B86" s="1847" t="s">
        <v>16</v>
      </c>
      <c r="C86" s="0" t="s">
        <v>2320</v>
      </c>
      <c r="D86" s="0" t="s">
        <v>2321</v>
      </c>
      <c r="E86" s="0" t="s">
        <v>2322</v>
      </c>
      <c r="F86" s="0" t="s">
        <v>2323</v>
      </c>
      <c r="G86" s="0" t="s">
        <v>22</v>
      </c>
      <c r="H86" s="0" t="s">
        <v>22</v>
      </c>
      <c r="I86" s="0" t="s">
        <v>939</v>
      </c>
    </row>
    <row customHeight="1" ht="11.25">
      <c r="A87" s="1847" t="s">
        <v>2319</v>
      </c>
      <c r="B87" s="1847" t="s">
        <v>16</v>
      </c>
      <c r="C87" s="0" t="s">
        <v>2324</v>
      </c>
      <c r="D87" s="0" t="s">
        <v>2325</v>
      </c>
      <c r="E87" s="0" t="s">
        <v>2326</v>
      </c>
      <c r="F87" s="0" t="s">
        <v>2327</v>
      </c>
      <c r="G87" s="0" t="s">
        <v>22</v>
      </c>
      <c r="H87" s="0" t="s">
        <v>22</v>
      </c>
      <c r="I87" s="0" t="s">
        <v>939</v>
      </c>
    </row>
    <row customHeight="1" ht="11.25">
      <c r="A88" s="1847" t="s">
        <v>2319</v>
      </c>
      <c r="B88" s="1847" t="s">
        <v>16</v>
      </c>
      <c r="C88" s="0" t="s">
        <v>2347</v>
      </c>
      <c r="D88" s="0" t="s">
        <v>2348</v>
      </c>
      <c r="E88" s="0" t="s">
        <v>2349</v>
      </c>
      <c r="F88" s="0" t="s">
        <v>2323</v>
      </c>
      <c r="G88" s="0" t="s">
        <v>22</v>
      </c>
      <c r="H88" s="0" t="s">
        <v>22</v>
      </c>
      <c r="I88" s="0" t="s">
        <v>939</v>
      </c>
    </row>
    <row customHeight="1" ht="11.25">
      <c r="A89" s="1847" t="s">
        <v>2319</v>
      </c>
      <c r="B89" s="1847" t="s">
        <v>16</v>
      </c>
      <c r="C89" s="0" t="s">
        <v>2368</v>
      </c>
      <c r="D89" s="0" t="s">
        <v>2369</v>
      </c>
      <c r="E89" s="0" t="s">
        <v>2370</v>
      </c>
      <c r="F89" s="0" t="s">
        <v>2364</v>
      </c>
      <c r="G89" s="0" t="s">
        <v>22</v>
      </c>
      <c r="H89" s="0" t="s">
        <v>22</v>
      </c>
      <c r="I89" s="0" t="s">
        <v>939</v>
      </c>
    </row>
    <row customHeight="1" ht="11.25">
      <c r="A90" s="1847" t="s">
        <v>2319</v>
      </c>
      <c r="B90" s="1847" t="s">
        <v>16</v>
      </c>
      <c r="C90" s="0" t="s">
        <v>2371</v>
      </c>
      <c r="D90" s="0" t="s">
        <v>2372</v>
      </c>
      <c r="E90" s="0" t="s">
        <v>2373</v>
      </c>
      <c r="F90" s="0" t="s">
        <v>2374</v>
      </c>
      <c r="G90" s="0" t="s">
        <v>22</v>
      </c>
      <c r="H90" s="0" t="s">
        <v>22</v>
      </c>
      <c r="I90" s="0" t="s">
        <v>939</v>
      </c>
    </row>
    <row customHeight="1" ht="11.25">
      <c r="A91" s="1847" t="s">
        <v>2319</v>
      </c>
      <c r="B91" s="1847" t="s">
        <v>16</v>
      </c>
      <c r="C91" s="0" t="s">
        <v>2383</v>
      </c>
      <c r="D91" s="0" t="s">
        <v>2384</v>
      </c>
      <c r="E91" s="0" t="s">
        <v>2385</v>
      </c>
      <c r="F91" s="0" t="s">
        <v>2323</v>
      </c>
      <c r="G91" s="0" t="s">
        <v>22</v>
      </c>
      <c r="H91" s="0" t="s">
        <v>22</v>
      </c>
      <c r="I91" s="0" t="s">
        <v>939</v>
      </c>
    </row>
    <row customHeight="1" ht="11.25">
      <c r="A92" s="1847" t="s">
        <v>2319</v>
      </c>
      <c r="B92" s="1847" t="s">
        <v>16</v>
      </c>
      <c r="C92" s="0" t="s">
        <v>2386</v>
      </c>
      <c r="D92" s="0" t="s">
        <v>2387</v>
      </c>
      <c r="E92" s="0" t="s">
        <v>2388</v>
      </c>
      <c r="F92" s="0" t="s">
        <v>2389</v>
      </c>
      <c r="G92" s="0" t="s">
        <v>2390</v>
      </c>
      <c r="H92" s="0" t="s">
        <v>22</v>
      </c>
      <c r="I92" s="0" t="s">
        <v>939</v>
      </c>
    </row>
    <row customHeight="1" ht="11.25">
      <c r="A93" s="1847" t="s">
        <v>2319</v>
      </c>
      <c r="B93" s="1847" t="s">
        <v>16</v>
      </c>
      <c r="C93" s="0" t="s">
        <v>2391</v>
      </c>
      <c r="D93" s="0" t="s">
        <v>2392</v>
      </c>
      <c r="E93" s="0" t="s">
        <v>2393</v>
      </c>
      <c r="F93" s="0" t="s">
        <v>2346</v>
      </c>
      <c r="G93" s="0" t="s">
        <v>22</v>
      </c>
      <c r="H93" s="0" t="s">
        <v>22</v>
      </c>
      <c r="I93" s="0" t="s">
        <v>939</v>
      </c>
    </row>
    <row customHeight="1" ht="11.25">
      <c r="A94" s="1847" t="s">
        <v>2319</v>
      </c>
      <c r="B94" s="1847" t="s">
        <v>16</v>
      </c>
      <c r="C94" s="0" t="s">
        <v>2399</v>
      </c>
      <c r="D94" s="0" t="s">
        <v>2400</v>
      </c>
      <c r="E94" s="0" t="s">
        <v>2401</v>
      </c>
      <c r="F94" s="0" t="s">
        <v>2342</v>
      </c>
      <c r="G94" s="0" t="s">
        <v>22</v>
      </c>
      <c r="H94" s="0" t="s">
        <v>22</v>
      </c>
      <c r="I94" s="0" t="s">
        <v>939</v>
      </c>
    </row>
    <row customHeight="1" ht="11.25">
      <c r="A95" s="1847" t="s">
        <v>2319</v>
      </c>
      <c r="B95" s="1847" t="s">
        <v>16</v>
      </c>
      <c r="C95" s="0" t="s">
        <v>2426</v>
      </c>
      <c r="D95" s="0" t="s">
        <v>2427</v>
      </c>
      <c r="E95" s="0" t="s">
        <v>2428</v>
      </c>
      <c r="F95" s="0" t="s">
        <v>2397</v>
      </c>
      <c r="G95" s="0" t="s">
        <v>2429</v>
      </c>
      <c r="H95" s="0" t="s">
        <v>22</v>
      </c>
      <c r="I95" s="0" t="s">
        <v>939</v>
      </c>
    </row>
    <row customHeight="1" ht="11.25">
      <c r="A96" s="1847" t="s">
        <v>2319</v>
      </c>
      <c r="B96" s="1847" t="s">
        <v>16</v>
      </c>
      <c r="C96" s="0" t="s">
        <v>2434</v>
      </c>
      <c r="D96" s="0" t="s">
        <v>2435</v>
      </c>
      <c r="E96" s="0" t="s">
        <v>2436</v>
      </c>
      <c r="F96" s="0" t="s">
        <v>2408</v>
      </c>
      <c r="G96" s="0" t="s">
        <v>2437</v>
      </c>
      <c r="H96" s="0" t="s">
        <v>22</v>
      </c>
      <c r="I96" s="0" t="s">
        <v>939</v>
      </c>
    </row>
    <row customHeight="1" ht="11.25">
      <c r="A97" s="1847" t="s">
        <v>2319</v>
      </c>
      <c r="B97" s="1847" t="s">
        <v>16</v>
      </c>
      <c r="C97" s="0" t="s">
        <v>2449</v>
      </c>
      <c r="D97" s="0" t="s">
        <v>2450</v>
      </c>
      <c r="E97" s="0" t="s">
        <v>2451</v>
      </c>
      <c r="F97" s="0" t="s">
        <v>2452</v>
      </c>
      <c r="G97" s="0" t="s">
        <v>22</v>
      </c>
      <c r="H97" s="0" t="s">
        <v>22</v>
      </c>
      <c r="I97" s="0" t="s">
        <v>939</v>
      </c>
    </row>
    <row customHeight="1" ht="11.25">
      <c r="A98" s="1847" t="s">
        <v>2319</v>
      </c>
      <c r="B98" s="1847" t="s">
        <v>16</v>
      </c>
      <c r="C98" s="0" t="s">
        <v>2462</v>
      </c>
      <c r="D98" s="0" t="s">
        <v>2463</v>
      </c>
      <c r="E98" s="0" t="s">
        <v>2464</v>
      </c>
      <c r="F98" s="0" t="s">
        <v>2408</v>
      </c>
      <c r="G98" s="0" t="s">
        <v>2465</v>
      </c>
      <c r="H98" s="0" t="s">
        <v>22</v>
      </c>
      <c r="I98" s="0" t="s">
        <v>939</v>
      </c>
    </row>
    <row customHeight="1" ht="11.25">
      <c r="A99" s="1847" t="s">
        <v>2319</v>
      </c>
      <c r="B99" s="1847" t="s">
        <v>16</v>
      </c>
      <c r="C99" s="0" t="s">
        <v>2488</v>
      </c>
      <c r="D99" s="0" t="s">
        <v>2489</v>
      </c>
      <c r="E99" s="0" t="s">
        <v>2490</v>
      </c>
      <c r="F99" s="0" t="s">
        <v>2342</v>
      </c>
      <c r="G99" s="0" t="s">
        <v>22</v>
      </c>
      <c r="H99" s="0" t="s">
        <v>22</v>
      </c>
      <c r="I99" s="0" t="s">
        <v>939</v>
      </c>
    </row>
    <row customHeight="1" ht="11.25">
      <c r="A100" s="1847" t="s">
        <v>2319</v>
      </c>
      <c r="B100" s="1847" t="s">
        <v>16</v>
      </c>
      <c r="C100" s="0" t="s">
        <v>2524</v>
      </c>
      <c r="D100" s="0" t="s">
        <v>2525</v>
      </c>
      <c r="E100" s="0" t="s">
        <v>2526</v>
      </c>
      <c r="F100" s="0" t="s">
        <v>2323</v>
      </c>
      <c r="G100" s="0" t="s">
        <v>2527</v>
      </c>
      <c r="H100" s="0" t="s">
        <v>22</v>
      </c>
      <c r="I100" s="0" t="s">
        <v>939</v>
      </c>
    </row>
    <row customHeight="1" ht="11.25">
      <c r="A101" s="1847" t="s">
        <v>2319</v>
      </c>
      <c r="B101" s="1847" t="s">
        <v>16</v>
      </c>
      <c r="C101" s="0" t="s">
        <v>2534</v>
      </c>
      <c r="D101" s="0" t="s">
        <v>2535</v>
      </c>
      <c r="E101" s="0" t="s">
        <v>2536</v>
      </c>
      <c r="F101" s="0" t="s">
        <v>2323</v>
      </c>
      <c r="G101" s="0" t="s">
        <v>2537</v>
      </c>
      <c r="H101" s="0" t="s">
        <v>22</v>
      </c>
      <c r="I101" s="0" t="s">
        <v>939</v>
      </c>
    </row>
    <row customHeight="1" ht="11.25">
      <c r="A102" s="1847" t="s">
        <v>2319</v>
      </c>
      <c r="B102" s="1847" t="s">
        <v>16</v>
      </c>
      <c r="C102" s="0" t="s">
        <v>2561</v>
      </c>
      <c r="D102" s="0" t="s">
        <v>2562</v>
      </c>
      <c r="E102" s="0" t="s">
        <v>2563</v>
      </c>
      <c r="F102" s="0" t="s">
        <v>2408</v>
      </c>
      <c r="G102" s="0" t="s">
        <v>22</v>
      </c>
      <c r="H102" s="0" t="s">
        <v>22</v>
      </c>
      <c r="I102" s="0" t="s">
        <v>939</v>
      </c>
    </row>
    <row customHeight="1" ht="11.25">
      <c r="A103" s="1847" t="s">
        <v>2319</v>
      </c>
      <c r="B103" s="1847" t="s">
        <v>16</v>
      </c>
      <c r="C103" s="0" t="s">
        <v>2564</v>
      </c>
      <c r="D103" s="0" t="s">
        <v>2565</v>
      </c>
      <c r="E103" s="0" t="s">
        <v>2566</v>
      </c>
      <c r="F103" s="0" t="s">
        <v>2323</v>
      </c>
      <c r="G103" s="0" t="s">
        <v>2567</v>
      </c>
      <c r="H103" s="0" t="s">
        <v>22</v>
      </c>
      <c r="I103" s="0" t="s">
        <v>939</v>
      </c>
    </row>
    <row customHeight="1" ht="11.25">
      <c r="A104" s="1847" t="s">
        <v>2319</v>
      </c>
      <c r="B104" s="1847" t="s">
        <v>16</v>
      </c>
      <c r="C104" s="0" t="s">
        <v>22</v>
      </c>
      <c r="D104" s="0" t="s">
        <v>2592</v>
      </c>
      <c r="E104" s="0" t="s">
        <v>2593</v>
      </c>
      <c r="F104" s="0" t="s">
        <v>2323</v>
      </c>
      <c r="G104" s="0" t="s">
        <v>22</v>
      </c>
      <c r="H104" s="0" t="s">
        <v>22</v>
      </c>
      <c r="I104" s="0" t="s">
        <v>939</v>
      </c>
    </row>
    <row customHeight="1" ht="11.25">
      <c r="A105" s="1847" t="s">
        <v>2319</v>
      </c>
      <c r="B105" s="1847" t="s">
        <v>16</v>
      </c>
      <c r="C105" s="0" t="s">
        <v>2597</v>
      </c>
      <c r="D105" s="0" t="s">
        <v>2598</v>
      </c>
      <c r="E105" s="0" t="s">
        <v>2599</v>
      </c>
      <c r="F105" s="0" t="s">
        <v>2600</v>
      </c>
      <c r="G105" s="0" t="s">
        <v>22</v>
      </c>
      <c r="H105" s="0" t="s">
        <v>22</v>
      </c>
      <c r="I105" s="0" t="s">
        <v>939</v>
      </c>
    </row>
    <row customHeight="1" ht="11.25">
      <c r="A106" s="1847" t="s">
        <v>2319</v>
      </c>
      <c r="B106" s="1847" t="s">
        <v>16</v>
      </c>
      <c r="C106" s="0" t="s">
        <v>2601</v>
      </c>
      <c r="D106" s="0" t="s">
        <v>2602</v>
      </c>
      <c r="E106" s="0" t="s">
        <v>2599</v>
      </c>
      <c r="F106" s="0" t="s">
        <v>2603</v>
      </c>
      <c r="G106" s="0" t="s">
        <v>2604</v>
      </c>
      <c r="H106" s="0" t="s">
        <v>22</v>
      </c>
      <c r="I106" s="0" t="s">
        <v>939</v>
      </c>
    </row>
    <row customHeight="1" ht="11.25">
      <c r="A107" s="1847" t="s">
        <v>2319</v>
      </c>
      <c r="B107" s="1847" t="s">
        <v>16</v>
      </c>
      <c r="C107" s="0" t="s">
        <v>2612</v>
      </c>
      <c r="D107" s="0" t="s">
        <v>2613</v>
      </c>
      <c r="E107" s="0" t="s">
        <v>2614</v>
      </c>
      <c r="F107" s="0" t="s">
        <v>2615</v>
      </c>
      <c r="G107" s="0" t="s">
        <v>22</v>
      </c>
      <c r="H107" s="0" t="s">
        <v>22</v>
      </c>
      <c r="I107" s="0" t="s">
        <v>939</v>
      </c>
    </row>
    <row customHeight="1" ht="11.25">
      <c r="A108" s="1847" t="s">
        <v>2319</v>
      </c>
      <c r="B108" s="1847" t="s">
        <v>16</v>
      </c>
      <c r="C108" s="0" t="s">
        <v>2320</v>
      </c>
      <c r="D108" s="0" t="s">
        <v>2321</v>
      </c>
      <c r="E108" s="0" t="s">
        <v>2322</v>
      </c>
      <c r="F108" s="0" t="s">
        <v>2323</v>
      </c>
      <c r="G108" s="0" t="s">
        <v>22</v>
      </c>
      <c r="H108" s="0" t="s">
        <v>22</v>
      </c>
      <c r="I108" s="0" t="s">
        <v>899</v>
      </c>
    </row>
    <row customHeight="1" ht="11.25">
      <c r="A109" s="1847" t="s">
        <v>2319</v>
      </c>
      <c r="B109" s="1847" t="s">
        <v>16</v>
      </c>
      <c r="C109" s="0" t="s">
        <v>2324</v>
      </c>
      <c r="D109" s="0" t="s">
        <v>2325</v>
      </c>
      <c r="E109" s="0" t="s">
        <v>2326</v>
      </c>
      <c r="F109" s="0" t="s">
        <v>2327</v>
      </c>
      <c r="G109" s="0" t="s">
        <v>22</v>
      </c>
      <c r="H109" s="0" t="s">
        <v>22</v>
      </c>
      <c r="I109" s="0" t="s">
        <v>899</v>
      </c>
    </row>
    <row customHeight="1" ht="11.25">
      <c r="A110" s="1847" t="s">
        <v>2319</v>
      </c>
      <c r="B110" s="1847" t="s">
        <v>16</v>
      </c>
      <c r="C110" s="0" t="s">
        <v>2616</v>
      </c>
      <c r="D110" s="0" t="s">
        <v>2617</v>
      </c>
      <c r="E110" s="0" t="s">
        <v>2618</v>
      </c>
      <c r="F110" s="0" t="s">
        <v>2323</v>
      </c>
      <c r="G110" s="0" t="s">
        <v>22</v>
      </c>
      <c r="H110" s="0" t="s">
        <v>22</v>
      </c>
      <c r="I110" s="0" t="s">
        <v>899</v>
      </c>
    </row>
    <row customHeight="1" ht="11.25">
      <c r="A111" s="1847" t="s">
        <v>2319</v>
      </c>
      <c r="B111" s="1847" t="s">
        <v>16</v>
      </c>
      <c r="C111" s="0" t="s">
        <v>2347</v>
      </c>
      <c r="D111" s="0" t="s">
        <v>2348</v>
      </c>
      <c r="E111" s="0" t="s">
        <v>2349</v>
      </c>
      <c r="F111" s="0" t="s">
        <v>2323</v>
      </c>
      <c r="G111" s="0" t="s">
        <v>22</v>
      </c>
      <c r="H111" s="0" t="s">
        <v>22</v>
      </c>
      <c r="I111" s="0" t="s">
        <v>899</v>
      </c>
    </row>
    <row customHeight="1" ht="11.25">
      <c r="A112" s="1847" t="s">
        <v>2319</v>
      </c>
      <c r="B112" s="1847" t="s">
        <v>16</v>
      </c>
      <c r="C112" s="0" t="s">
        <v>2619</v>
      </c>
      <c r="D112" s="0" t="s">
        <v>2620</v>
      </c>
      <c r="E112" s="0" t="s">
        <v>2621</v>
      </c>
      <c r="F112" s="0" t="s">
        <v>2452</v>
      </c>
      <c r="G112" s="0" t="s">
        <v>22</v>
      </c>
      <c r="H112" s="0" t="s">
        <v>22</v>
      </c>
      <c r="I112" s="0" t="s">
        <v>899</v>
      </c>
    </row>
    <row customHeight="1" ht="11.25">
      <c r="A113" s="1847" t="s">
        <v>2319</v>
      </c>
      <c r="B113" s="1847" t="s">
        <v>16</v>
      </c>
      <c r="C113" s="0" t="s">
        <v>2350</v>
      </c>
      <c r="D113" s="0" t="s">
        <v>2351</v>
      </c>
      <c r="E113" s="0" t="s">
        <v>2352</v>
      </c>
      <c r="F113" s="0" t="s">
        <v>2353</v>
      </c>
      <c r="G113" s="0" t="s">
        <v>22</v>
      </c>
      <c r="H113" s="0" t="s">
        <v>22</v>
      </c>
      <c r="I113" s="0" t="s">
        <v>899</v>
      </c>
    </row>
    <row customHeight="1" ht="11.25">
      <c r="A114" s="1847" t="s">
        <v>2319</v>
      </c>
      <c r="B114" s="1847" t="s">
        <v>16</v>
      </c>
      <c r="C114" s="0" t="s">
        <v>2622</v>
      </c>
      <c r="D114" s="0" t="s">
        <v>2623</v>
      </c>
      <c r="E114" s="0" t="s">
        <v>2624</v>
      </c>
      <c r="F114" s="0" t="s">
        <v>2323</v>
      </c>
      <c r="G114" s="0" t="s">
        <v>22</v>
      </c>
      <c r="H114" s="0" t="s">
        <v>22</v>
      </c>
      <c r="I114" s="0" t="s">
        <v>899</v>
      </c>
    </row>
    <row customHeight="1" ht="11.25">
      <c r="A115" s="1847" t="s">
        <v>2319</v>
      </c>
      <c r="B115" s="1847" t="s">
        <v>16</v>
      </c>
      <c r="C115" s="0" t="s">
        <v>2357</v>
      </c>
      <c r="D115" s="0" t="s">
        <v>2358</v>
      </c>
      <c r="E115" s="0" t="s">
        <v>2359</v>
      </c>
      <c r="F115" s="0" t="s">
        <v>2338</v>
      </c>
      <c r="G115" s="0" t="s">
        <v>2360</v>
      </c>
      <c r="H115" s="0" t="s">
        <v>22</v>
      </c>
      <c r="I115" s="0" t="s">
        <v>899</v>
      </c>
    </row>
    <row customHeight="1" ht="11.25">
      <c r="A116" s="1847" t="s">
        <v>2319</v>
      </c>
      <c r="B116" s="1847" t="s">
        <v>16</v>
      </c>
      <c r="C116" s="0" t="s">
        <v>2361</v>
      </c>
      <c r="D116" s="0" t="s">
        <v>2362</v>
      </c>
      <c r="E116" s="0" t="s">
        <v>2363</v>
      </c>
      <c r="F116" s="0" t="s">
        <v>2364</v>
      </c>
      <c r="G116" s="0" t="s">
        <v>22</v>
      </c>
      <c r="H116" s="0" t="s">
        <v>22</v>
      </c>
      <c r="I116" s="0" t="s">
        <v>899</v>
      </c>
    </row>
    <row customHeight="1" ht="11.25">
      <c r="A117" s="1847" t="s">
        <v>2319</v>
      </c>
      <c r="B117" s="1847" t="s">
        <v>16</v>
      </c>
      <c r="C117" s="0" t="s">
        <v>2365</v>
      </c>
      <c r="D117" s="0" t="s">
        <v>2366</v>
      </c>
      <c r="E117" s="0" t="s">
        <v>2367</v>
      </c>
      <c r="F117" s="0" t="s">
        <v>2331</v>
      </c>
      <c r="G117" s="0" t="s">
        <v>22</v>
      </c>
      <c r="H117" s="0" t="s">
        <v>22</v>
      </c>
      <c r="I117" s="0" t="s">
        <v>899</v>
      </c>
    </row>
    <row customHeight="1" ht="11.25">
      <c r="A118" s="1847" t="s">
        <v>2319</v>
      </c>
      <c r="B118" s="1847" t="s">
        <v>16</v>
      </c>
      <c r="C118" s="0" t="s">
        <v>2368</v>
      </c>
      <c r="D118" s="0" t="s">
        <v>2369</v>
      </c>
      <c r="E118" s="0" t="s">
        <v>2370</v>
      </c>
      <c r="F118" s="0" t="s">
        <v>2364</v>
      </c>
      <c r="G118" s="0" t="s">
        <v>22</v>
      </c>
      <c r="H118" s="0" t="s">
        <v>22</v>
      </c>
      <c r="I118" s="0" t="s">
        <v>899</v>
      </c>
    </row>
    <row customHeight="1" ht="11.25">
      <c r="A119" s="1847" t="s">
        <v>2319</v>
      </c>
      <c r="B119" s="1847" t="s">
        <v>16</v>
      </c>
      <c r="C119" s="0" t="s">
        <v>2625</v>
      </c>
      <c r="D119" s="0" t="s">
        <v>2626</v>
      </c>
      <c r="E119" s="0" t="s">
        <v>2627</v>
      </c>
      <c r="F119" s="0" t="s">
        <v>2374</v>
      </c>
      <c r="G119" s="0" t="s">
        <v>2628</v>
      </c>
      <c r="H119" s="0" t="s">
        <v>22</v>
      </c>
      <c r="I119" s="0" t="s">
        <v>899</v>
      </c>
    </row>
    <row customHeight="1" ht="11.25">
      <c r="A120" s="1847" t="s">
        <v>2319</v>
      </c>
      <c r="B120" s="1847" t="s">
        <v>16</v>
      </c>
      <c r="C120" s="0" t="s">
        <v>2629</v>
      </c>
      <c r="D120" s="0" t="s">
        <v>2630</v>
      </c>
      <c r="E120" s="0" t="s">
        <v>2377</v>
      </c>
      <c r="F120" s="0" t="s">
        <v>2631</v>
      </c>
      <c r="G120" s="0" t="s">
        <v>22</v>
      </c>
      <c r="H120" s="0" t="s">
        <v>22</v>
      </c>
      <c r="I120" s="0" t="s">
        <v>899</v>
      </c>
    </row>
    <row customHeight="1" ht="11.25">
      <c r="A121" s="1847" t="s">
        <v>2319</v>
      </c>
      <c r="B121" s="1847" t="s">
        <v>16</v>
      </c>
      <c r="C121" s="0" t="s">
        <v>2371</v>
      </c>
      <c r="D121" s="0" t="s">
        <v>2372</v>
      </c>
      <c r="E121" s="0" t="s">
        <v>2373</v>
      </c>
      <c r="F121" s="0" t="s">
        <v>2374</v>
      </c>
      <c r="G121" s="0" t="s">
        <v>22</v>
      </c>
      <c r="H121" s="0" t="s">
        <v>22</v>
      </c>
      <c r="I121" s="0" t="s">
        <v>899</v>
      </c>
    </row>
    <row customHeight="1" ht="11.25">
      <c r="A122" s="1847" t="s">
        <v>2319</v>
      </c>
      <c r="B122" s="1847" t="s">
        <v>16</v>
      </c>
      <c r="C122" s="0" t="s">
        <v>2632</v>
      </c>
      <c r="D122" s="0" t="s">
        <v>2633</v>
      </c>
      <c r="E122" s="0" t="s">
        <v>2634</v>
      </c>
      <c r="F122" s="0" t="s">
        <v>51</v>
      </c>
      <c r="G122" s="0" t="s">
        <v>22</v>
      </c>
      <c r="H122" s="0" t="s">
        <v>22</v>
      </c>
      <c r="I122" s="0" t="s">
        <v>899</v>
      </c>
    </row>
    <row customHeight="1" ht="11.25">
      <c r="A123" s="1847" t="s">
        <v>2319</v>
      </c>
      <c r="B123" s="1847" t="s">
        <v>16</v>
      </c>
      <c r="C123" s="0" t="s">
        <v>2635</v>
      </c>
      <c r="D123" s="0" t="s">
        <v>2636</v>
      </c>
      <c r="E123" s="0" t="s">
        <v>2637</v>
      </c>
      <c r="F123" s="0" t="s">
        <v>2378</v>
      </c>
      <c r="G123" s="0" t="s">
        <v>22</v>
      </c>
      <c r="H123" s="0" t="s">
        <v>22</v>
      </c>
      <c r="I123" s="0" t="s">
        <v>899</v>
      </c>
    </row>
    <row customHeight="1" ht="11.25">
      <c r="A124" s="1847" t="s">
        <v>2319</v>
      </c>
      <c r="B124" s="1847" t="s">
        <v>16</v>
      </c>
      <c r="C124" s="0" t="s">
        <v>2375</v>
      </c>
      <c r="D124" s="0" t="s">
        <v>2376</v>
      </c>
      <c r="E124" s="0" t="s">
        <v>2377</v>
      </c>
      <c r="F124" s="0" t="s">
        <v>2378</v>
      </c>
      <c r="G124" s="0" t="s">
        <v>22</v>
      </c>
      <c r="H124" s="0" t="s">
        <v>22</v>
      </c>
      <c r="I124" s="0" t="s">
        <v>899</v>
      </c>
    </row>
    <row customHeight="1" ht="11.25">
      <c r="A125" s="1847" t="s">
        <v>2319</v>
      </c>
      <c r="B125" s="1847" t="s">
        <v>16</v>
      </c>
      <c r="C125" s="0" t="s">
        <v>2379</v>
      </c>
      <c r="D125" s="0" t="s">
        <v>2380</v>
      </c>
      <c r="E125" s="0" t="s">
        <v>2381</v>
      </c>
      <c r="F125" s="0" t="s">
        <v>2382</v>
      </c>
      <c r="G125" s="0" t="s">
        <v>22</v>
      </c>
      <c r="H125" s="0" t="s">
        <v>22</v>
      </c>
      <c r="I125" s="0" t="s">
        <v>899</v>
      </c>
    </row>
    <row customHeight="1" ht="11.25">
      <c r="A126" s="1847" t="s">
        <v>2319</v>
      </c>
      <c r="B126" s="1847" t="s">
        <v>16</v>
      </c>
      <c r="C126" s="0" t="s">
        <v>2386</v>
      </c>
      <c r="D126" s="0" t="s">
        <v>2387</v>
      </c>
      <c r="E126" s="0" t="s">
        <v>2388</v>
      </c>
      <c r="F126" s="0" t="s">
        <v>2389</v>
      </c>
      <c r="G126" s="0" t="s">
        <v>2390</v>
      </c>
      <c r="H126" s="0" t="s">
        <v>22</v>
      </c>
      <c r="I126" s="0" t="s">
        <v>899</v>
      </c>
    </row>
    <row customHeight="1" ht="11.25">
      <c r="A127" s="1847" t="s">
        <v>2319</v>
      </c>
      <c r="B127" s="1847" t="s">
        <v>16</v>
      </c>
      <c r="C127" s="0" t="s">
        <v>2391</v>
      </c>
      <c r="D127" s="0" t="s">
        <v>2392</v>
      </c>
      <c r="E127" s="0" t="s">
        <v>2393</v>
      </c>
      <c r="F127" s="0" t="s">
        <v>2346</v>
      </c>
      <c r="G127" s="0" t="s">
        <v>22</v>
      </c>
      <c r="H127" s="0" t="s">
        <v>22</v>
      </c>
      <c r="I127" s="0" t="s">
        <v>899</v>
      </c>
    </row>
    <row customHeight="1" ht="11.25">
      <c r="A128" s="1847" t="s">
        <v>2319</v>
      </c>
      <c r="B128" s="1847" t="s">
        <v>16</v>
      </c>
      <c r="C128" s="0" t="s">
        <v>2394</v>
      </c>
      <c r="D128" s="0" t="s">
        <v>2395</v>
      </c>
      <c r="E128" s="0" t="s">
        <v>2396</v>
      </c>
      <c r="F128" s="0" t="s">
        <v>2397</v>
      </c>
      <c r="G128" s="0" t="s">
        <v>2398</v>
      </c>
      <c r="H128" s="0" t="s">
        <v>22</v>
      </c>
      <c r="I128" s="0" t="s">
        <v>899</v>
      </c>
    </row>
    <row customHeight="1" ht="11.25">
      <c r="A129" s="1847" t="s">
        <v>2319</v>
      </c>
      <c r="B129" s="1847" t="s">
        <v>16</v>
      </c>
      <c r="C129" s="0" t="s">
        <v>2406</v>
      </c>
      <c r="D129" s="0" t="s">
        <v>2403</v>
      </c>
      <c r="E129" s="0" t="s">
        <v>2407</v>
      </c>
      <c r="F129" s="0" t="s">
        <v>2408</v>
      </c>
      <c r="G129" s="0" t="s">
        <v>2409</v>
      </c>
      <c r="H129" s="0" t="s">
        <v>22</v>
      </c>
      <c r="I129" s="0" t="s">
        <v>899</v>
      </c>
    </row>
    <row customHeight="1" ht="11.25">
      <c r="A130" s="1847" t="s">
        <v>2319</v>
      </c>
      <c r="B130" s="1847" t="s">
        <v>16</v>
      </c>
      <c r="C130" s="0" t="s">
        <v>2410</v>
      </c>
      <c r="D130" s="0" t="s">
        <v>2411</v>
      </c>
      <c r="E130" s="0" t="s">
        <v>2412</v>
      </c>
      <c r="F130" s="0" t="s">
        <v>2408</v>
      </c>
      <c r="G130" s="0" t="s">
        <v>2413</v>
      </c>
      <c r="H130" s="0" t="s">
        <v>22</v>
      </c>
      <c r="I130" s="0" t="s">
        <v>899</v>
      </c>
    </row>
    <row customHeight="1" ht="11.25">
      <c r="A131" s="1847" t="s">
        <v>2319</v>
      </c>
      <c r="B131" s="1847" t="s">
        <v>16</v>
      </c>
      <c r="C131" s="0" t="s">
        <v>2414</v>
      </c>
      <c r="D131" s="0" t="s">
        <v>2415</v>
      </c>
      <c r="E131" s="0" t="s">
        <v>2416</v>
      </c>
      <c r="F131" s="0" t="s">
        <v>2397</v>
      </c>
      <c r="G131" s="0" t="s">
        <v>22</v>
      </c>
      <c r="H131" s="0" t="s">
        <v>22</v>
      </c>
      <c r="I131" s="0" t="s">
        <v>899</v>
      </c>
    </row>
    <row customHeight="1" ht="11.25">
      <c r="A132" s="1847" t="s">
        <v>2319</v>
      </c>
      <c r="B132" s="1847" t="s">
        <v>16</v>
      </c>
      <c r="C132" s="0" t="s">
        <v>2417</v>
      </c>
      <c r="D132" s="0" t="s">
        <v>2418</v>
      </c>
      <c r="E132" s="0" t="s">
        <v>2419</v>
      </c>
      <c r="F132" s="0" t="s">
        <v>2420</v>
      </c>
      <c r="G132" s="0" t="s">
        <v>22</v>
      </c>
      <c r="H132" s="0" t="s">
        <v>22</v>
      </c>
      <c r="I132" s="0" t="s">
        <v>899</v>
      </c>
    </row>
    <row customHeight="1" ht="11.25">
      <c r="A133" s="1847" t="s">
        <v>2319</v>
      </c>
      <c r="B133" s="1847" t="s">
        <v>16</v>
      </c>
      <c r="C133" s="0" t="s">
        <v>2421</v>
      </c>
      <c r="D133" s="0" t="s">
        <v>2422</v>
      </c>
      <c r="E133" s="0" t="s">
        <v>2423</v>
      </c>
      <c r="F133" s="0" t="s">
        <v>2364</v>
      </c>
      <c r="G133" s="0" t="s">
        <v>2424</v>
      </c>
      <c r="H133" s="0" t="s">
        <v>2425</v>
      </c>
      <c r="I133" s="0" t="s">
        <v>899</v>
      </c>
    </row>
    <row customHeight="1" ht="11.25">
      <c r="A134" s="1847" t="s">
        <v>2319</v>
      </c>
      <c r="B134" s="1847" t="s">
        <v>16</v>
      </c>
      <c r="C134" s="0" t="s">
        <v>2426</v>
      </c>
      <c r="D134" s="0" t="s">
        <v>2427</v>
      </c>
      <c r="E134" s="0" t="s">
        <v>2428</v>
      </c>
      <c r="F134" s="0" t="s">
        <v>2397</v>
      </c>
      <c r="G134" s="0" t="s">
        <v>2429</v>
      </c>
      <c r="H134" s="0" t="s">
        <v>22</v>
      </c>
      <c r="I134" s="0" t="s">
        <v>899</v>
      </c>
    </row>
    <row customHeight="1" ht="11.25">
      <c r="A135" s="1847" t="s">
        <v>2319</v>
      </c>
      <c r="B135" s="1847" t="s">
        <v>16</v>
      </c>
      <c r="C135" s="0" t="s">
        <v>2638</v>
      </c>
      <c r="D135" s="0" t="s">
        <v>2639</v>
      </c>
      <c r="E135" s="0" t="s">
        <v>2640</v>
      </c>
      <c r="F135" s="0" t="s">
        <v>2408</v>
      </c>
      <c r="G135" s="0" t="s">
        <v>22</v>
      </c>
      <c r="H135" s="0" t="s">
        <v>22</v>
      </c>
      <c r="I135" s="0" t="s">
        <v>899</v>
      </c>
    </row>
    <row customHeight="1" ht="11.25">
      <c r="A136" s="1847" t="s">
        <v>2319</v>
      </c>
      <c r="B136" s="1847" t="s">
        <v>16</v>
      </c>
      <c r="C136" s="0" t="s">
        <v>2641</v>
      </c>
      <c r="D136" s="0" t="s">
        <v>2642</v>
      </c>
      <c r="E136" s="0" t="s">
        <v>2643</v>
      </c>
      <c r="F136" s="0" t="s">
        <v>2342</v>
      </c>
      <c r="G136" s="0" t="s">
        <v>2644</v>
      </c>
      <c r="H136" s="0" t="s">
        <v>22</v>
      </c>
      <c r="I136" s="0" t="s">
        <v>899</v>
      </c>
    </row>
    <row customHeight="1" ht="11.25">
      <c r="A137" s="1847" t="s">
        <v>2319</v>
      </c>
      <c r="B137" s="1847" t="s">
        <v>16</v>
      </c>
      <c r="C137" s="0" t="s">
        <v>2430</v>
      </c>
      <c r="D137" s="0" t="s">
        <v>2431</v>
      </c>
      <c r="E137" s="0" t="s">
        <v>2432</v>
      </c>
      <c r="F137" s="0" t="s">
        <v>2364</v>
      </c>
      <c r="G137" s="0" t="s">
        <v>2433</v>
      </c>
      <c r="H137" s="0" t="s">
        <v>22</v>
      </c>
      <c r="I137" s="0" t="s">
        <v>899</v>
      </c>
    </row>
    <row customHeight="1" ht="11.25">
      <c r="A138" s="1847" t="s">
        <v>2319</v>
      </c>
      <c r="B138" s="1847" t="s">
        <v>16</v>
      </c>
      <c r="C138" s="0" t="s">
        <v>2438</v>
      </c>
      <c r="D138" s="0" t="s">
        <v>2439</v>
      </c>
      <c r="E138" s="0" t="s">
        <v>2440</v>
      </c>
      <c r="F138" s="0" t="s">
        <v>2338</v>
      </c>
      <c r="G138" s="0" t="s">
        <v>2441</v>
      </c>
      <c r="H138" s="0" t="s">
        <v>22</v>
      </c>
      <c r="I138" s="0" t="s">
        <v>899</v>
      </c>
    </row>
    <row customHeight="1" ht="11.25">
      <c r="A139" s="1847" t="s">
        <v>2319</v>
      </c>
      <c r="B139" s="1847" t="s">
        <v>16</v>
      </c>
      <c r="C139" s="0" t="s">
        <v>2442</v>
      </c>
      <c r="D139" s="0" t="s">
        <v>2443</v>
      </c>
      <c r="E139" s="0" t="s">
        <v>2444</v>
      </c>
      <c r="F139" s="0" t="s">
        <v>2445</v>
      </c>
      <c r="G139" s="0" t="s">
        <v>22</v>
      </c>
      <c r="H139" s="0" t="s">
        <v>22</v>
      </c>
      <c r="I139" s="0" t="s">
        <v>899</v>
      </c>
    </row>
    <row customHeight="1" ht="11.25">
      <c r="A140" s="1847" t="s">
        <v>2319</v>
      </c>
      <c r="B140" s="1847" t="s">
        <v>16</v>
      </c>
      <c r="C140" s="0" t="s">
        <v>2446</v>
      </c>
      <c r="D140" s="0" t="s">
        <v>2447</v>
      </c>
      <c r="E140" s="0" t="s">
        <v>2448</v>
      </c>
      <c r="F140" s="0" t="s">
        <v>2342</v>
      </c>
      <c r="G140" s="0" t="s">
        <v>22</v>
      </c>
      <c r="H140" s="0" t="s">
        <v>22</v>
      </c>
      <c r="I140" s="0" t="s">
        <v>899</v>
      </c>
    </row>
    <row customHeight="1" ht="11.25">
      <c r="A141" s="1847" t="s">
        <v>2319</v>
      </c>
      <c r="B141" s="1847" t="s">
        <v>16</v>
      </c>
      <c r="C141" s="0" t="s">
        <v>13</v>
      </c>
      <c r="D141" s="0" t="s">
        <v>46</v>
      </c>
      <c r="E141" s="0" t="s">
        <v>49</v>
      </c>
      <c r="F141" s="0" t="s">
        <v>51</v>
      </c>
      <c r="G141" s="0" t="s">
        <v>22</v>
      </c>
      <c r="H141" s="0" t="s">
        <v>22</v>
      </c>
      <c r="I141" s="0" t="s">
        <v>899</v>
      </c>
    </row>
    <row customHeight="1" ht="11.25">
      <c r="A142" s="1847" t="s">
        <v>2319</v>
      </c>
      <c r="B142" s="1847" t="s">
        <v>16</v>
      </c>
      <c r="C142" s="0" t="s">
        <v>2449</v>
      </c>
      <c r="D142" s="0" t="s">
        <v>2450</v>
      </c>
      <c r="E142" s="0" t="s">
        <v>2451</v>
      </c>
      <c r="F142" s="0" t="s">
        <v>2452</v>
      </c>
      <c r="G142" s="0" t="s">
        <v>22</v>
      </c>
      <c r="H142" s="0" t="s">
        <v>22</v>
      </c>
      <c r="I142" s="0" t="s">
        <v>899</v>
      </c>
    </row>
    <row customHeight="1" ht="11.25">
      <c r="A143" s="1847" t="s">
        <v>2319</v>
      </c>
      <c r="B143" s="1847" t="s">
        <v>16</v>
      </c>
      <c r="C143" s="0" t="s">
        <v>2456</v>
      </c>
      <c r="D143" s="0" t="s">
        <v>2457</v>
      </c>
      <c r="E143" s="0" t="s">
        <v>2458</v>
      </c>
      <c r="F143" s="0" t="s">
        <v>2382</v>
      </c>
      <c r="G143" s="0" t="s">
        <v>22</v>
      </c>
      <c r="H143" s="0" t="s">
        <v>22</v>
      </c>
      <c r="I143" s="0" t="s">
        <v>899</v>
      </c>
    </row>
    <row customHeight="1" ht="11.25">
      <c r="A144" s="1847" t="s">
        <v>2319</v>
      </c>
      <c r="B144" s="1847" t="s">
        <v>16</v>
      </c>
      <c r="C144" s="0" t="s">
        <v>2459</v>
      </c>
      <c r="D144" s="0" t="s">
        <v>2460</v>
      </c>
      <c r="E144" s="0" t="s">
        <v>2352</v>
      </c>
      <c r="F144" s="0" t="s">
        <v>2461</v>
      </c>
      <c r="G144" s="0" t="s">
        <v>22</v>
      </c>
      <c r="H144" s="0" t="s">
        <v>22</v>
      </c>
      <c r="I144" s="0" t="s">
        <v>899</v>
      </c>
    </row>
    <row customHeight="1" ht="11.25">
      <c r="A145" s="1847" t="s">
        <v>2319</v>
      </c>
      <c r="B145" s="1847" t="s">
        <v>16</v>
      </c>
      <c r="C145" s="0" t="s">
        <v>2462</v>
      </c>
      <c r="D145" s="0" t="s">
        <v>2463</v>
      </c>
      <c r="E145" s="0" t="s">
        <v>2464</v>
      </c>
      <c r="F145" s="0" t="s">
        <v>2408</v>
      </c>
      <c r="G145" s="0" t="s">
        <v>2465</v>
      </c>
      <c r="H145" s="0" t="s">
        <v>22</v>
      </c>
      <c r="I145" s="0" t="s">
        <v>899</v>
      </c>
    </row>
    <row customHeight="1" ht="11.25">
      <c r="A146" s="1847" t="s">
        <v>2319</v>
      </c>
      <c r="B146" s="1847" t="s">
        <v>16</v>
      </c>
      <c r="C146" s="0" t="s">
        <v>2645</v>
      </c>
      <c r="D146" s="0" t="s">
        <v>2646</v>
      </c>
      <c r="E146" s="0" t="s">
        <v>2647</v>
      </c>
      <c r="F146" s="0" t="s">
        <v>2331</v>
      </c>
      <c r="G146" s="0" t="s">
        <v>22</v>
      </c>
      <c r="H146" s="0" t="s">
        <v>22</v>
      </c>
      <c r="I146" s="0" t="s">
        <v>899</v>
      </c>
    </row>
    <row customHeight="1" ht="11.25">
      <c r="A147" s="1847" t="s">
        <v>2319</v>
      </c>
      <c r="B147" s="1847" t="s">
        <v>16</v>
      </c>
      <c r="C147" s="0" t="s">
        <v>2466</v>
      </c>
      <c r="D147" s="0" t="s">
        <v>2467</v>
      </c>
      <c r="E147" s="0" t="s">
        <v>2468</v>
      </c>
      <c r="F147" s="0" t="s">
        <v>2469</v>
      </c>
      <c r="G147" s="0" t="s">
        <v>2470</v>
      </c>
      <c r="H147" s="0" t="s">
        <v>22</v>
      </c>
      <c r="I147" s="0" t="s">
        <v>899</v>
      </c>
    </row>
    <row customHeight="1" ht="11.25">
      <c r="A148" s="1847" t="s">
        <v>2319</v>
      </c>
      <c r="B148" s="1847" t="s">
        <v>16</v>
      </c>
      <c r="C148" s="0" t="s">
        <v>2648</v>
      </c>
      <c r="D148" s="0" t="s">
        <v>2649</v>
      </c>
      <c r="E148" s="0" t="s">
        <v>2650</v>
      </c>
      <c r="F148" s="0" t="s">
        <v>2420</v>
      </c>
      <c r="G148" s="0" t="s">
        <v>2651</v>
      </c>
      <c r="H148" s="0" t="s">
        <v>22</v>
      </c>
      <c r="I148" s="0" t="s">
        <v>899</v>
      </c>
    </row>
    <row customHeight="1" ht="11.25">
      <c r="A149" s="1847" t="s">
        <v>2319</v>
      </c>
      <c r="B149" s="1847" t="s">
        <v>16</v>
      </c>
      <c r="C149" s="0" t="s">
        <v>2652</v>
      </c>
      <c r="D149" s="0" t="s">
        <v>2653</v>
      </c>
      <c r="E149" s="0" t="s">
        <v>2654</v>
      </c>
      <c r="F149" s="0" t="s">
        <v>2469</v>
      </c>
      <c r="G149" s="0" t="s">
        <v>22</v>
      </c>
      <c r="H149" s="0" t="s">
        <v>22</v>
      </c>
      <c r="I149" s="0" t="s">
        <v>899</v>
      </c>
    </row>
    <row customHeight="1" ht="11.25">
      <c r="A150" s="1847" t="s">
        <v>2319</v>
      </c>
      <c r="B150" s="1847" t="s">
        <v>16</v>
      </c>
      <c r="C150" s="0" t="s">
        <v>2655</v>
      </c>
      <c r="D150" s="0" t="s">
        <v>2656</v>
      </c>
      <c r="E150" s="0" t="s">
        <v>2657</v>
      </c>
      <c r="F150" s="0" t="s">
        <v>2331</v>
      </c>
      <c r="G150" s="0" t="s">
        <v>22</v>
      </c>
      <c r="H150" s="0" t="s">
        <v>22</v>
      </c>
      <c r="I150" s="0" t="s">
        <v>899</v>
      </c>
    </row>
    <row customHeight="1" ht="11.25">
      <c r="A151" s="1847" t="s">
        <v>2319</v>
      </c>
      <c r="B151" s="1847" t="s">
        <v>16</v>
      </c>
      <c r="C151" s="0" t="s">
        <v>2658</v>
      </c>
      <c r="D151" s="0" t="s">
        <v>2659</v>
      </c>
      <c r="E151" s="0" t="s">
        <v>2660</v>
      </c>
      <c r="F151" s="0" t="s">
        <v>2323</v>
      </c>
      <c r="G151" s="0" t="s">
        <v>22</v>
      </c>
      <c r="H151" s="0" t="s">
        <v>22</v>
      </c>
      <c r="I151" s="0" t="s">
        <v>899</v>
      </c>
    </row>
    <row customHeight="1" ht="11.25">
      <c r="A152" s="1847" t="s">
        <v>2319</v>
      </c>
      <c r="B152" s="1847" t="s">
        <v>16</v>
      </c>
      <c r="C152" s="0" t="s">
        <v>2481</v>
      </c>
      <c r="D152" s="0" t="s">
        <v>2482</v>
      </c>
      <c r="E152" s="0" t="s">
        <v>2483</v>
      </c>
      <c r="F152" s="0" t="s">
        <v>2364</v>
      </c>
      <c r="G152" s="0" t="s">
        <v>22</v>
      </c>
      <c r="H152" s="0" t="s">
        <v>22</v>
      </c>
      <c r="I152" s="0" t="s">
        <v>899</v>
      </c>
    </row>
    <row customHeight="1" ht="11.25">
      <c r="A153" s="1847" t="s">
        <v>2319</v>
      </c>
      <c r="B153" s="1847" t="s">
        <v>16</v>
      </c>
      <c r="C153" s="0" t="s">
        <v>2484</v>
      </c>
      <c r="D153" s="0" t="s">
        <v>2485</v>
      </c>
      <c r="E153" s="0" t="s">
        <v>2486</v>
      </c>
      <c r="F153" s="0" t="s">
        <v>2474</v>
      </c>
      <c r="G153" s="0" t="s">
        <v>2487</v>
      </c>
      <c r="H153" s="0" t="s">
        <v>22</v>
      </c>
      <c r="I153" s="0" t="s">
        <v>899</v>
      </c>
    </row>
    <row customHeight="1" ht="11.25">
      <c r="A154" s="1847" t="s">
        <v>2319</v>
      </c>
      <c r="B154" s="1847" t="s">
        <v>16</v>
      </c>
      <c r="C154" s="0" t="s">
        <v>2503</v>
      </c>
      <c r="D154" s="0" t="s">
        <v>2504</v>
      </c>
      <c r="E154" s="0" t="s">
        <v>2505</v>
      </c>
      <c r="F154" s="0" t="s">
        <v>2378</v>
      </c>
      <c r="G154" s="0" t="s">
        <v>2506</v>
      </c>
      <c r="H154" s="0" t="s">
        <v>2507</v>
      </c>
      <c r="I154" s="0" t="s">
        <v>899</v>
      </c>
    </row>
    <row customHeight="1" ht="11.25">
      <c r="A155" s="1847" t="s">
        <v>2319</v>
      </c>
      <c r="B155" s="1847" t="s">
        <v>16</v>
      </c>
      <c r="C155" s="0" t="s">
        <v>2508</v>
      </c>
      <c r="D155" s="0" t="s">
        <v>2509</v>
      </c>
      <c r="E155" s="0" t="s">
        <v>2510</v>
      </c>
      <c r="F155" s="0" t="s">
        <v>2378</v>
      </c>
      <c r="G155" s="0" t="s">
        <v>22</v>
      </c>
      <c r="H155" s="0" t="s">
        <v>22</v>
      </c>
      <c r="I155" s="0" t="s">
        <v>899</v>
      </c>
    </row>
    <row customHeight="1" ht="11.25">
      <c r="A156" s="1847" t="s">
        <v>2319</v>
      </c>
      <c r="B156" s="1847" t="s">
        <v>16</v>
      </c>
      <c r="C156" s="0" t="s">
        <v>2511</v>
      </c>
      <c r="D156" s="0" t="s">
        <v>2512</v>
      </c>
      <c r="E156" s="0" t="s">
        <v>2513</v>
      </c>
      <c r="F156" s="0" t="s">
        <v>2514</v>
      </c>
      <c r="G156" s="0" t="s">
        <v>22</v>
      </c>
      <c r="H156" s="0" t="s">
        <v>22</v>
      </c>
      <c r="I156" s="0" t="s">
        <v>899</v>
      </c>
    </row>
    <row customHeight="1" ht="11.25">
      <c r="A157" s="1847" t="s">
        <v>2319</v>
      </c>
      <c r="B157" s="1847" t="s">
        <v>16</v>
      </c>
      <c r="C157" s="0" t="s">
        <v>2661</v>
      </c>
      <c r="D157" s="0" t="s">
        <v>2662</v>
      </c>
      <c r="E157" s="0" t="s">
        <v>2663</v>
      </c>
      <c r="F157" s="0" t="s">
        <v>2408</v>
      </c>
      <c r="G157" s="0" t="s">
        <v>22</v>
      </c>
      <c r="H157" s="0" t="s">
        <v>22</v>
      </c>
      <c r="I157" s="0" t="s">
        <v>899</v>
      </c>
    </row>
    <row customHeight="1" ht="11.25">
      <c r="A158" s="1847" t="s">
        <v>2319</v>
      </c>
      <c r="B158" s="1847" t="s">
        <v>16</v>
      </c>
      <c r="C158" s="0" t="s">
        <v>2664</v>
      </c>
      <c r="D158" s="0" t="s">
        <v>2665</v>
      </c>
      <c r="E158" s="0" t="s">
        <v>2666</v>
      </c>
      <c r="F158" s="0" t="s">
        <v>2331</v>
      </c>
      <c r="G158" s="0" t="s">
        <v>22</v>
      </c>
      <c r="H158" s="0" t="s">
        <v>22</v>
      </c>
      <c r="I158" s="0" t="s">
        <v>899</v>
      </c>
    </row>
    <row customHeight="1" ht="11.25">
      <c r="A159" s="1847" t="s">
        <v>2319</v>
      </c>
      <c r="B159" s="1847" t="s">
        <v>16</v>
      </c>
      <c r="C159" s="0" t="s">
        <v>2518</v>
      </c>
      <c r="D159" s="0" t="s">
        <v>2519</v>
      </c>
      <c r="E159" s="0" t="s">
        <v>2520</v>
      </c>
      <c r="F159" s="0" t="s">
        <v>2323</v>
      </c>
      <c r="G159" s="0" t="s">
        <v>22</v>
      </c>
      <c r="H159" s="0" t="s">
        <v>22</v>
      </c>
      <c r="I159" s="0" t="s">
        <v>899</v>
      </c>
    </row>
    <row customHeight="1" ht="11.25">
      <c r="A160" s="1847" t="s">
        <v>2319</v>
      </c>
      <c r="B160" s="1847" t="s">
        <v>16</v>
      </c>
      <c r="C160" s="0" t="s">
        <v>2667</v>
      </c>
      <c r="D160" s="0" t="s">
        <v>2668</v>
      </c>
      <c r="E160" s="0" t="s">
        <v>2669</v>
      </c>
      <c r="F160" s="0" t="s">
        <v>2342</v>
      </c>
      <c r="G160" s="0" t="s">
        <v>2670</v>
      </c>
      <c r="H160" s="0" t="s">
        <v>22</v>
      </c>
      <c r="I160" s="0" t="s">
        <v>899</v>
      </c>
    </row>
    <row customHeight="1" ht="11.25">
      <c r="A161" s="1847" t="s">
        <v>2319</v>
      </c>
      <c r="B161" s="1847" t="s">
        <v>16</v>
      </c>
      <c r="C161" s="0" t="s">
        <v>2521</v>
      </c>
      <c r="D161" s="0" t="s">
        <v>2522</v>
      </c>
      <c r="E161" s="0" t="s">
        <v>2523</v>
      </c>
      <c r="F161" s="0" t="s">
        <v>2331</v>
      </c>
      <c r="G161" s="0" t="s">
        <v>22</v>
      </c>
      <c r="H161" s="0" t="s">
        <v>22</v>
      </c>
      <c r="I161" s="0" t="s">
        <v>899</v>
      </c>
    </row>
    <row customHeight="1" ht="11.25">
      <c r="A162" s="1847" t="s">
        <v>2319</v>
      </c>
      <c r="B162" s="1847" t="s">
        <v>16</v>
      </c>
      <c r="C162" s="0" t="s">
        <v>2524</v>
      </c>
      <c r="D162" s="0" t="s">
        <v>2525</v>
      </c>
      <c r="E162" s="0" t="s">
        <v>2526</v>
      </c>
      <c r="F162" s="0" t="s">
        <v>2323</v>
      </c>
      <c r="G162" s="0" t="s">
        <v>2527</v>
      </c>
      <c r="H162" s="0" t="s">
        <v>22</v>
      </c>
      <c r="I162" s="0" t="s">
        <v>899</v>
      </c>
    </row>
    <row customHeight="1" ht="11.25">
      <c r="A163" s="1847" t="s">
        <v>2319</v>
      </c>
      <c r="B163" s="1847" t="s">
        <v>16</v>
      </c>
      <c r="C163" s="0" t="s">
        <v>2534</v>
      </c>
      <c r="D163" s="0" t="s">
        <v>2535</v>
      </c>
      <c r="E163" s="0" t="s">
        <v>2536</v>
      </c>
      <c r="F163" s="0" t="s">
        <v>2323</v>
      </c>
      <c r="G163" s="0" t="s">
        <v>2537</v>
      </c>
      <c r="H163" s="0" t="s">
        <v>22</v>
      </c>
      <c r="I163" s="0" t="s">
        <v>899</v>
      </c>
    </row>
    <row customHeight="1" ht="11.25">
      <c r="A164" s="1847" t="s">
        <v>2319</v>
      </c>
      <c r="B164" s="1847" t="s">
        <v>16</v>
      </c>
      <c r="C164" s="0" t="s">
        <v>2671</v>
      </c>
      <c r="D164" s="0" t="s">
        <v>2672</v>
      </c>
      <c r="E164" s="0" t="s">
        <v>2673</v>
      </c>
      <c r="F164" s="0" t="s">
        <v>2338</v>
      </c>
      <c r="G164" s="0" t="s">
        <v>22</v>
      </c>
      <c r="H164" s="0" t="s">
        <v>2674</v>
      </c>
      <c r="I164" s="0" t="s">
        <v>899</v>
      </c>
    </row>
    <row customHeight="1" ht="11.25">
      <c r="A165" s="1847" t="s">
        <v>2319</v>
      </c>
      <c r="B165" s="1847" t="s">
        <v>16</v>
      </c>
      <c r="C165" s="0" t="s">
        <v>2675</v>
      </c>
      <c r="D165" s="0" t="s">
        <v>2676</v>
      </c>
      <c r="E165" s="0" t="s">
        <v>2677</v>
      </c>
      <c r="F165" s="0" t="s">
        <v>2323</v>
      </c>
      <c r="G165" s="0" t="s">
        <v>22</v>
      </c>
      <c r="H165" s="0" t="s">
        <v>22</v>
      </c>
      <c r="I165" s="0" t="s">
        <v>899</v>
      </c>
    </row>
    <row customHeight="1" ht="11.25">
      <c r="A166" s="1847" t="s">
        <v>2319</v>
      </c>
      <c r="B166" s="1847" t="s">
        <v>16</v>
      </c>
      <c r="C166" s="0" t="s">
        <v>2554</v>
      </c>
      <c r="D166" s="0" t="s">
        <v>2555</v>
      </c>
      <c r="E166" s="0" t="s">
        <v>2556</v>
      </c>
      <c r="F166" s="0" t="s">
        <v>2382</v>
      </c>
      <c r="G166" s="0" t="s">
        <v>22</v>
      </c>
      <c r="H166" s="0" t="s">
        <v>22</v>
      </c>
      <c r="I166" s="0" t="s">
        <v>899</v>
      </c>
    </row>
    <row customHeight="1" ht="11.25">
      <c r="A167" s="1847" t="s">
        <v>2319</v>
      </c>
      <c r="B167" s="1847" t="s">
        <v>16</v>
      </c>
      <c r="C167" s="0" t="s">
        <v>2557</v>
      </c>
      <c r="D167" s="0" t="s">
        <v>2558</v>
      </c>
      <c r="E167" s="0" t="s">
        <v>2559</v>
      </c>
      <c r="F167" s="0" t="s">
        <v>2323</v>
      </c>
      <c r="G167" s="0" t="s">
        <v>2560</v>
      </c>
      <c r="H167" s="0" t="s">
        <v>22</v>
      </c>
      <c r="I167" s="0" t="s">
        <v>899</v>
      </c>
    </row>
    <row customHeight="1" ht="11.25">
      <c r="A168" s="1847" t="s">
        <v>2319</v>
      </c>
      <c r="B168" s="1847" t="s">
        <v>16</v>
      </c>
      <c r="C168" s="0" t="s">
        <v>2678</v>
      </c>
      <c r="D168" s="0" t="s">
        <v>2679</v>
      </c>
      <c r="E168" s="0" t="s">
        <v>2680</v>
      </c>
      <c r="F168" s="0" t="s">
        <v>2408</v>
      </c>
      <c r="G168" s="0" t="s">
        <v>22</v>
      </c>
      <c r="H168" s="0" t="s">
        <v>22</v>
      </c>
      <c r="I168" s="0" t="s">
        <v>899</v>
      </c>
    </row>
    <row customHeight="1" ht="11.25">
      <c r="A169" s="1847" t="s">
        <v>2319</v>
      </c>
      <c r="B169" s="1847" t="s">
        <v>16</v>
      </c>
      <c r="C169" s="0" t="s">
        <v>2564</v>
      </c>
      <c r="D169" s="0" t="s">
        <v>2565</v>
      </c>
      <c r="E169" s="0" t="s">
        <v>2566</v>
      </c>
      <c r="F169" s="0" t="s">
        <v>2323</v>
      </c>
      <c r="G169" s="0" t="s">
        <v>2567</v>
      </c>
      <c r="H169" s="0" t="s">
        <v>22</v>
      </c>
      <c r="I169" s="0" t="s">
        <v>899</v>
      </c>
    </row>
    <row customHeight="1" ht="11.25">
      <c r="A170" s="1847" t="s">
        <v>2319</v>
      </c>
      <c r="B170" s="1847" t="s">
        <v>16</v>
      </c>
      <c r="C170" s="0" t="s">
        <v>2568</v>
      </c>
      <c r="D170" s="0" t="s">
        <v>2569</v>
      </c>
      <c r="E170" s="0" t="s">
        <v>2570</v>
      </c>
      <c r="F170" s="0" t="s">
        <v>2474</v>
      </c>
      <c r="G170" s="0" t="s">
        <v>22</v>
      </c>
      <c r="H170" s="0" t="s">
        <v>22</v>
      </c>
      <c r="I170" s="0" t="s">
        <v>899</v>
      </c>
    </row>
    <row customHeight="1" ht="11.25">
      <c r="A171" s="1847" t="s">
        <v>2319</v>
      </c>
      <c r="B171" s="1847" t="s">
        <v>16</v>
      </c>
      <c r="C171" s="0" t="s">
        <v>2579</v>
      </c>
      <c r="D171" s="0" t="s">
        <v>2580</v>
      </c>
      <c r="E171" s="0" t="s">
        <v>2581</v>
      </c>
      <c r="F171" s="0" t="s">
        <v>2382</v>
      </c>
      <c r="G171" s="0" t="s">
        <v>2582</v>
      </c>
      <c r="H171" s="0" t="s">
        <v>22</v>
      </c>
      <c r="I171" s="0" t="s">
        <v>899</v>
      </c>
    </row>
    <row customHeight="1" ht="11.25">
      <c r="A172" s="1847" t="s">
        <v>2319</v>
      </c>
      <c r="B172" s="1847" t="s">
        <v>16</v>
      </c>
      <c r="C172" s="0" t="s">
        <v>22</v>
      </c>
      <c r="D172" s="0" t="s">
        <v>2592</v>
      </c>
      <c r="E172" s="0" t="s">
        <v>2593</v>
      </c>
      <c r="F172" s="0" t="s">
        <v>2323</v>
      </c>
      <c r="G172" s="0" t="s">
        <v>22</v>
      </c>
      <c r="H172" s="0" t="s">
        <v>22</v>
      </c>
      <c r="I172" s="0" t="s">
        <v>899</v>
      </c>
    </row>
    <row customHeight="1" ht="11.25">
      <c r="A173" s="1847" t="s">
        <v>2319</v>
      </c>
      <c r="B173" s="1847" t="s">
        <v>16</v>
      </c>
      <c r="C173" s="0" t="s">
        <v>2681</v>
      </c>
      <c r="D173" s="0" t="s">
        <v>2682</v>
      </c>
      <c r="E173" s="0" t="s">
        <v>2683</v>
      </c>
      <c r="F173" s="0" t="s">
        <v>2323</v>
      </c>
      <c r="G173" s="0" t="s">
        <v>22</v>
      </c>
      <c r="H173" s="0" t="s">
        <v>22</v>
      </c>
      <c r="I173" s="0" t="s">
        <v>899</v>
      </c>
    </row>
    <row customHeight="1" ht="11.25">
      <c r="A174" s="1847" t="s">
        <v>2319</v>
      </c>
      <c r="B174" s="1847" t="s">
        <v>16</v>
      </c>
      <c r="C174" s="0" t="s">
        <v>2597</v>
      </c>
      <c r="D174" s="0" t="s">
        <v>2598</v>
      </c>
      <c r="E174" s="0" t="s">
        <v>2599</v>
      </c>
      <c r="F174" s="0" t="s">
        <v>2600</v>
      </c>
      <c r="G174" s="0" t="s">
        <v>22</v>
      </c>
      <c r="H174" s="0" t="s">
        <v>22</v>
      </c>
      <c r="I174" s="0" t="s">
        <v>899</v>
      </c>
    </row>
    <row customHeight="1" ht="11.25">
      <c r="A175" s="1847" t="s">
        <v>2319</v>
      </c>
      <c r="B175" s="1847" t="s">
        <v>16</v>
      </c>
      <c r="C175" s="0" t="s">
        <v>2601</v>
      </c>
      <c r="D175" s="0" t="s">
        <v>2602</v>
      </c>
      <c r="E175" s="0" t="s">
        <v>2599</v>
      </c>
      <c r="F175" s="0" t="s">
        <v>2603</v>
      </c>
      <c r="G175" s="0" t="s">
        <v>2604</v>
      </c>
      <c r="H175" s="0" t="s">
        <v>22</v>
      </c>
      <c r="I175" s="0" t="s">
        <v>899</v>
      </c>
    </row>
    <row customHeight="1" ht="11.25">
      <c r="A176" s="1847" t="s">
        <v>2319</v>
      </c>
      <c r="B176" s="1847" t="s">
        <v>16</v>
      </c>
      <c r="C176" s="0" t="s">
        <v>2684</v>
      </c>
      <c r="D176" s="0" t="s">
        <v>2685</v>
      </c>
      <c r="E176" s="0" t="s">
        <v>2686</v>
      </c>
      <c r="F176" s="0" t="s">
        <v>2323</v>
      </c>
      <c r="G176" s="0" t="s">
        <v>22</v>
      </c>
      <c r="H176" s="0" t="s">
        <v>22</v>
      </c>
      <c r="I176" s="0" t="s">
        <v>899</v>
      </c>
    </row>
    <row customHeight="1" ht="11.25">
      <c r="A177" s="1847" t="s">
        <v>2319</v>
      </c>
      <c r="B177" s="1847" t="s">
        <v>16</v>
      </c>
      <c r="C177" s="0" t="s">
        <v>2687</v>
      </c>
      <c r="D177" s="0" t="s">
        <v>2688</v>
      </c>
      <c r="E177" s="0" t="s">
        <v>2689</v>
      </c>
      <c r="F177" s="0" t="s">
        <v>2445</v>
      </c>
      <c r="G177" s="0" t="s">
        <v>22</v>
      </c>
      <c r="H177" s="0" t="s">
        <v>22</v>
      </c>
      <c r="I177" s="0" t="s">
        <v>899</v>
      </c>
    </row>
    <row customHeight="1" ht="11.25">
      <c r="A178" s="1847" t="s">
        <v>2319</v>
      </c>
      <c r="B178" s="1847" t="s">
        <v>16</v>
      </c>
      <c r="C178" s="0" t="s">
        <v>2320</v>
      </c>
      <c r="D178" s="0" t="s">
        <v>2321</v>
      </c>
      <c r="E178" s="0" t="s">
        <v>2322</v>
      </c>
      <c r="F178" s="0" t="s">
        <v>2323</v>
      </c>
      <c r="G178" s="0" t="s">
        <v>22</v>
      </c>
      <c r="H178" s="0" t="s">
        <v>22</v>
      </c>
      <c r="I178" s="0" t="s">
        <v>952</v>
      </c>
    </row>
    <row customHeight="1" ht="11.25">
      <c r="A179" s="1847" t="s">
        <v>2319</v>
      </c>
      <c r="B179" s="1847" t="s">
        <v>16</v>
      </c>
      <c r="C179" s="0" t="s">
        <v>2324</v>
      </c>
      <c r="D179" s="0" t="s">
        <v>2325</v>
      </c>
      <c r="E179" s="0" t="s">
        <v>2326</v>
      </c>
      <c r="F179" s="0" t="s">
        <v>2327</v>
      </c>
      <c r="G179" s="0" t="s">
        <v>22</v>
      </c>
      <c r="H179" s="0" t="s">
        <v>22</v>
      </c>
      <c r="I179" s="0" t="s">
        <v>952</v>
      </c>
    </row>
    <row customHeight="1" ht="11.25">
      <c r="A180" s="1847" t="s">
        <v>2319</v>
      </c>
      <c r="B180" s="1847" t="s">
        <v>16</v>
      </c>
      <c r="C180" s="0" t="s">
        <v>2347</v>
      </c>
      <c r="D180" s="0" t="s">
        <v>2348</v>
      </c>
      <c r="E180" s="0" t="s">
        <v>2349</v>
      </c>
      <c r="F180" s="0" t="s">
        <v>2323</v>
      </c>
      <c r="G180" s="0" t="s">
        <v>22</v>
      </c>
      <c r="H180" s="0" t="s">
        <v>22</v>
      </c>
      <c r="I180" s="0" t="s">
        <v>952</v>
      </c>
    </row>
    <row customHeight="1" ht="11.25">
      <c r="A181" s="1847" t="s">
        <v>2319</v>
      </c>
      <c r="B181" s="1847" t="s">
        <v>16</v>
      </c>
      <c r="C181" s="0" t="s">
        <v>2619</v>
      </c>
      <c r="D181" s="0" t="s">
        <v>2620</v>
      </c>
      <c r="E181" s="0" t="s">
        <v>2621</v>
      </c>
      <c r="F181" s="0" t="s">
        <v>2452</v>
      </c>
      <c r="G181" s="0" t="s">
        <v>22</v>
      </c>
      <c r="H181" s="0" t="s">
        <v>22</v>
      </c>
      <c r="I181" s="0" t="s">
        <v>952</v>
      </c>
    </row>
    <row customHeight="1" ht="11.25">
      <c r="A182" s="1847" t="s">
        <v>2319</v>
      </c>
      <c r="B182" s="1847" t="s">
        <v>16</v>
      </c>
      <c r="C182" s="0" t="s">
        <v>2350</v>
      </c>
      <c r="D182" s="0" t="s">
        <v>2351</v>
      </c>
      <c r="E182" s="0" t="s">
        <v>2352</v>
      </c>
      <c r="F182" s="0" t="s">
        <v>2353</v>
      </c>
      <c r="G182" s="0" t="s">
        <v>22</v>
      </c>
      <c r="H182" s="0" t="s">
        <v>22</v>
      </c>
      <c r="I182" s="0" t="s">
        <v>952</v>
      </c>
    </row>
    <row customHeight="1" ht="11.25">
      <c r="A183" s="1847" t="s">
        <v>2319</v>
      </c>
      <c r="B183" s="1847" t="s">
        <v>16</v>
      </c>
      <c r="C183" s="0" t="s">
        <v>2622</v>
      </c>
      <c r="D183" s="0" t="s">
        <v>2623</v>
      </c>
      <c r="E183" s="0" t="s">
        <v>2624</v>
      </c>
      <c r="F183" s="0" t="s">
        <v>2323</v>
      </c>
      <c r="G183" s="0" t="s">
        <v>22</v>
      </c>
      <c r="H183" s="0" t="s">
        <v>22</v>
      </c>
      <c r="I183" s="0" t="s">
        <v>952</v>
      </c>
    </row>
    <row customHeight="1" ht="11.25">
      <c r="A184" s="1847" t="s">
        <v>2319</v>
      </c>
      <c r="B184" s="1847" t="s">
        <v>16</v>
      </c>
      <c r="C184" s="0" t="s">
        <v>2357</v>
      </c>
      <c r="D184" s="0" t="s">
        <v>2358</v>
      </c>
      <c r="E184" s="0" t="s">
        <v>2359</v>
      </c>
      <c r="F184" s="0" t="s">
        <v>2338</v>
      </c>
      <c r="G184" s="0" t="s">
        <v>2360</v>
      </c>
      <c r="H184" s="0" t="s">
        <v>22</v>
      </c>
      <c r="I184" s="0" t="s">
        <v>952</v>
      </c>
    </row>
    <row customHeight="1" ht="11.25">
      <c r="A185" s="1847" t="s">
        <v>2319</v>
      </c>
      <c r="B185" s="1847" t="s">
        <v>16</v>
      </c>
      <c r="C185" s="0" t="s">
        <v>2361</v>
      </c>
      <c r="D185" s="0" t="s">
        <v>2362</v>
      </c>
      <c r="E185" s="0" t="s">
        <v>2363</v>
      </c>
      <c r="F185" s="0" t="s">
        <v>2364</v>
      </c>
      <c r="G185" s="0" t="s">
        <v>22</v>
      </c>
      <c r="H185" s="0" t="s">
        <v>22</v>
      </c>
      <c r="I185" s="0" t="s">
        <v>952</v>
      </c>
    </row>
    <row customHeight="1" ht="11.25">
      <c r="A186" s="1847" t="s">
        <v>2319</v>
      </c>
      <c r="B186" s="1847" t="s">
        <v>16</v>
      </c>
      <c r="C186" s="0" t="s">
        <v>2365</v>
      </c>
      <c r="D186" s="0" t="s">
        <v>2366</v>
      </c>
      <c r="E186" s="0" t="s">
        <v>2367</v>
      </c>
      <c r="F186" s="0" t="s">
        <v>2331</v>
      </c>
      <c r="G186" s="0" t="s">
        <v>22</v>
      </c>
      <c r="H186" s="0" t="s">
        <v>22</v>
      </c>
      <c r="I186" s="0" t="s">
        <v>952</v>
      </c>
    </row>
    <row customHeight="1" ht="11.25">
      <c r="A187" s="1847" t="s">
        <v>2319</v>
      </c>
      <c r="B187" s="1847" t="s">
        <v>16</v>
      </c>
      <c r="C187" s="0" t="s">
        <v>2368</v>
      </c>
      <c r="D187" s="0" t="s">
        <v>2369</v>
      </c>
      <c r="E187" s="0" t="s">
        <v>2370</v>
      </c>
      <c r="F187" s="0" t="s">
        <v>2364</v>
      </c>
      <c r="G187" s="0" t="s">
        <v>22</v>
      </c>
      <c r="H187" s="0" t="s">
        <v>22</v>
      </c>
      <c r="I187" s="0" t="s">
        <v>952</v>
      </c>
    </row>
    <row customHeight="1" ht="11.25">
      <c r="A188" s="1847" t="s">
        <v>2319</v>
      </c>
      <c r="B188" s="1847" t="s">
        <v>16</v>
      </c>
      <c r="C188" s="0" t="s">
        <v>2625</v>
      </c>
      <c r="D188" s="0" t="s">
        <v>2626</v>
      </c>
      <c r="E188" s="0" t="s">
        <v>2627</v>
      </c>
      <c r="F188" s="0" t="s">
        <v>2374</v>
      </c>
      <c r="G188" s="0" t="s">
        <v>2628</v>
      </c>
      <c r="H188" s="0" t="s">
        <v>22</v>
      </c>
      <c r="I188" s="0" t="s">
        <v>952</v>
      </c>
    </row>
    <row customHeight="1" ht="11.25">
      <c r="A189" s="1847" t="s">
        <v>2319</v>
      </c>
      <c r="B189" s="1847" t="s">
        <v>16</v>
      </c>
      <c r="C189" s="0" t="s">
        <v>2629</v>
      </c>
      <c r="D189" s="0" t="s">
        <v>2630</v>
      </c>
      <c r="E189" s="0" t="s">
        <v>2377</v>
      </c>
      <c r="F189" s="0" t="s">
        <v>2631</v>
      </c>
      <c r="G189" s="0" t="s">
        <v>22</v>
      </c>
      <c r="H189" s="0" t="s">
        <v>22</v>
      </c>
      <c r="I189" s="0" t="s">
        <v>952</v>
      </c>
    </row>
    <row customHeight="1" ht="11.25">
      <c r="A190" s="1847" t="s">
        <v>2319</v>
      </c>
      <c r="B190" s="1847" t="s">
        <v>16</v>
      </c>
      <c r="C190" s="0" t="s">
        <v>2371</v>
      </c>
      <c r="D190" s="0" t="s">
        <v>2372</v>
      </c>
      <c r="E190" s="0" t="s">
        <v>2373</v>
      </c>
      <c r="F190" s="0" t="s">
        <v>2374</v>
      </c>
      <c r="G190" s="0" t="s">
        <v>22</v>
      </c>
      <c r="H190" s="0" t="s">
        <v>22</v>
      </c>
      <c r="I190" s="0" t="s">
        <v>952</v>
      </c>
    </row>
    <row customHeight="1" ht="11.25">
      <c r="A191" s="1847" t="s">
        <v>2319</v>
      </c>
      <c r="B191" s="1847" t="s">
        <v>16</v>
      </c>
      <c r="C191" s="0" t="s">
        <v>2632</v>
      </c>
      <c r="D191" s="0" t="s">
        <v>2633</v>
      </c>
      <c r="E191" s="0" t="s">
        <v>2634</v>
      </c>
      <c r="F191" s="0" t="s">
        <v>51</v>
      </c>
      <c r="G191" s="0" t="s">
        <v>22</v>
      </c>
      <c r="H191" s="0" t="s">
        <v>22</v>
      </c>
      <c r="I191" s="0" t="s">
        <v>952</v>
      </c>
    </row>
    <row customHeight="1" ht="11.25">
      <c r="A192" s="1847" t="s">
        <v>2319</v>
      </c>
      <c r="B192" s="1847" t="s">
        <v>16</v>
      </c>
      <c r="C192" s="0" t="s">
        <v>2375</v>
      </c>
      <c r="D192" s="0" t="s">
        <v>2376</v>
      </c>
      <c r="E192" s="0" t="s">
        <v>2377</v>
      </c>
      <c r="F192" s="0" t="s">
        <v>2378</v>
      </c>
      <c r="G192" s="0" t="s">
        <v>22</v>
      </c>
      <c r="H192" s="0" t="s">
        <v>22</v>
      </c>
      <c r="I192" s="0" t="s">
        <v>952</v>
      </c>
    </row>
    <row customHeight="1" ht="11.25">
      <c r="A193" s="1847" t="s">
        <v>2319</v>
      </c>
      <c r="B193" s="1847" t="s">
        <v>16</v>
      </c>
      <c r="C193" s="0" t="s">
        <v>2379</v>
      </c>
      <c r="D193" s="0" t="s">
        <v>2380</v>
      </c>
      <c r="E193" s="0" t="s">
        <v>2381</v>
      </c>
      <c r="F193" s="0" t="s">
        <v>2382</v>
      </c>
      <c r="G193" s="0" t="s">
        <v>22</v>
      </c>
      <c r="H193" s="0" t="s">
        <v>22</v>
      </c>
      <c r="I193" s="0" t="s">
        <v>952</v>
      </c>
    </row>
    <row customHeight="1" ht="11.25">
      <c r="A194" s="1847" t="s">
        <v>2319</v>
      </c>
      <c r="B194" s="1847" t="s">
        <v>16</v>
      </c>
      <c r="C194" s="0" t="s">
        <v>2386</v>
      </c>
      <c r="D194" s="0" t="s">
        <v>2387</v>
      </c>
      <c r="E194" s="0" t="s">
        <v>2388</v>
      </c>
      <c r="F194" s="0" t="s">
        <v>2389</v>
      </c>
      <c r="G194" s="0" t="s">
        <v>2390</v>
      </c>
      <c r="H194" s="0" t="s">
        <v>22</v>
      </c>
      <c r="I194" s="0" t="s">
        <v>952</v>
      </c>
    </row>
    <row customHeight="1" ht="11.25">
      <c r="A195" s="1847" t="s">
        <v>2319</v>
      </c>
      <c r="B195" s="1847" t="s">
        <v>16</v>
      </c>
      <c r="C195" s="0" t="s">
        <v>2391</v>
      </c>
      <c r="D195" s="0" t="s">
        <v>2392</v>
      </c>
      <c r="E195" s="0" t="s">
        <v>2393</v>
      </c>
      <c r="F195" s="0" t="s">
        <v>2346</v>
      </c>
      <c r="G195" s="0" t="s">
        <v>22</v>
      </c>
      <c r="H195" s="0" t="s">
        <v>22</v>
      </c>
      <c r="I195" s="0" t="s">
        <v>952</v>
      </c>
    </row>
    <row customHeight="1" ht="11.25">
      <c r="A196" s="1847" t="s">
        <v>2319</v>
      </c>
      <c r="B196" s="1847" t="s">
        <v>16</v>
      </c>
      <c r="C196" s="0" t="s">
        <v>2394</v>
      </c>
      <c r="D196" s="0" t="s">
        <v>2395</v>
      </c>
      <c r="E196" s="0" t="s">
        <v>2396</v>
      </c>
      <c r="F196" s="0" t="s">
        <v>2397</v>
      </c>
      <c r="G196" s="0" t="s">
        <v>2398</v>
      </c>
      <c r="H196" s="0" t="s">
        <v>22</v>
      </c>
      <c r="I196" s="0" t="s">
        <v>952</v>
      </c>
    </row>
    <row customHeight="1" ht="11.25">
      <c r="A197" s="1847" t="s">
        <v>2319</v>
      </c>
      <c r="B197" s="1847" t="s">
        <v>16</v>
      </c>
      <c r="C197" s="0" t="s">
        <v>2406</v>
      </c>
      <c r="D197" s="0" t="s">
        <v>2403</v>
      </c>
      <c r="E197" s="0" t="s">
        <v>2407</v>
      </c>
      <c r="F197" s="0" t="s">
        <v>2408</v>
      </c>
      <c r="G197" s="0" t="s">
        <v>2409</v>
      </c>
      <c r="H197" s="0" t="s">
        <v>22</v>
      </c>
      <c r="I197" s="0" t="s">
        <v>952</v>
      </c>
    </row>
    <row customHeight="1" ht="11.25">
      <c r="A198" s="1847" t="s">
        <v>2319</v>
      </c>
      <c r="B198" s="1847" t="s">
        <v>16</v>
      </c>
      <c r="C198" s="0" t="s">
        <v>2410</v>
      </c>
      <c r="D198" s="0" t="s">
        <v>2411</v>
      </c>
      <c r="E198" s="0" t="s">
        <v>2412</v>
      </c>
      <c r="F198" s="0" t="s">
        <v>2408</v>
      </c>
      <c r="G198" s="0" t="s">
        <v>2413</v>
      </c>
      <c r="H198" s="0" t="s">
        <v>22</v>
      </c>
      <c r="I198" s="0" t="s">
        <v>952</v>
      </c>
    </row>
    <row customHeight="1" ht="11.25">
      <c r="A199" s="1847" t="s">
        <v>2319</v>
      </c>
      <c r="B199" s="1847" t="s">
        <v>16</v>
      </c>
      <c r="C199" s="0" t="s">
        <v>2414</v>
      </c>
      <c r="D199" s="0" t="s">
        <v>2415</v>
      </c>
      <c r="E199" s="0" t="s">
        <v>2416</v>
      </c>
      <c r="F199" s="0" t="s">
        <v>2397</v>
      </c>
      <c r="G199" s="0" t="s">
        <v>22</v>
      </c>
      <c r="H199" s="0" t="s">
        <v>22</v>
      </c>
      <c r="I199" s="0" t="s">
        <v>952</v>
      </c>
    </row>
    <row customHeight="1" ht="11.25">
      <c r="A200" s="1847" t="s">
        <v>2319</v>
      </c>
      <c r="B200" s="1847" t="s">
        <v>16</v>
      </c>
      <c r="C200" s="0" t="s">
        <v>2417</v>
      </c>
      <c r="D200" s="0" t="s">
        <v>2418</v>
      </c>
      <c r="E200" s="0" t="s">
        <v>2419</v>
      </c>
      <c r="F200" s="0" t="s">
        <v>2420</v>
      </c>
      <c r="G200" s="0" t="s">
        <v>22</v>
      </c>
      <c r="H200" s="0" t="s">
        <v>22</v>
      </c>
      <c r="I200" s="0" t="s">
        <v>952</v>
      </c>
    </row>
    <row customHeight="1" ht="11.25">
      <c r="A201" s="1847" t="s">
        <v>2319</v>
      </c>
      <c r="B201" s="1847" t="s">
        <v>16</v>
      </c>
      <c r="C201" s="0" t="s">
        <v>2421</v>
      </c>
      <c r="D201" s="0" t="s">
        <v>2422</v>
      </c>
      <c r="E201" s="0" t="s">
        <v>2423</v>
      </c>
      <c r="F201" s="0" t="s">
        <v>2364</v>
      </c>
      <c r="G201" s="0" t="s">
        <v>2424</v>
      </c>
      <c r="H201" s="0" t="s">
        <v>2425</v>
      </c>
      <c r="I201" s="0" t="s">
        <v>952</v>
      </c>
    </row>
    <row customHeight="1" ht="11.25">
      <c r="A202" s="1847" t="s">
        <v>2319</v>
      </c>
      <c r="B202" s="1847" t="s">
        <v>16</v>
      </c>
      <c r="C202" s="0" t="s">
        <v>2426</v>
      </c>
      <c r="D202" s="0" t="s">
        <v>2427</v>
      </c>
      <c r="E202" s="0" t="s">
        <v>2428</v>
      </c>
      <c r="F202" s="0" t="s">
        <v>2397</v>
      </c>
      <c r="G202" s="0" t="s">
        <v>2429</v>
      </c>
      <c r="H202" s="0" t="s">
        <v>22</v>
      </c>
      <c r="I202" s="0" t="s">
        <v>952</v>
      </c>
    </row>
    <row customHeight="1" ht="11.25">
      <c r="A203" s="1847" t="s">
        <v>2319</v>
      </c>
      <c r="B203" s="1847" t="s">
        <v>16</v>
      </c>
      <c r="C203" s="0" t="s">
        <v>2638</v>
      </c>
      <c r="D203" s="0" t="s">
        <v>2639</v>
      </c>
      <c r="E203" s="0" t="s">
        <v>2640</v>
      </c>
      <c r="F203" s="0" t="s">
        <v>2408</v>
      </c>
      <c r="G203" s="0" t="s">
        <v>22</v>
      </c>
      <c r="H203" s="0" t="s">
        <v>22</v>
      </c>
      <c r="I203" s="0" t="s">
        <v>952</v>
      </c>
    </row>
    <row customHeight="1" ht="11.25">
      <c r="A204" s="1847" t="s">
        <v>2319</v>
      </c>
      <c r="B204" s="1847" t="s">
        <v>16</v>
      </c>
      <c r="C204" s="0" t="s">
        <v>2641</v>
      </c>
      <c r="D204" s="0" t="s">
        <v>2642</v>
      </c>
      <c r="E204" s="0" t="s">
        <v>2643</v>
      </c>
      <c r="F204" s="0" t="s">
        <v>2342</v>
      </c>
      <c r="G204" s="0" t="s">
        <v>2644</v>
      </c>
      <c r="H204" s="0" t="s">
        <v>22</v>
      </c>
      <c r="I204" s="0" t="s">
        <v>952</v>
      </c>
    </row>
    <row customHeight="1" ht="11.25">
      <c r="A205" s="1847" t="s">
        <v>2319</v>
      </c>
      <c r="B205" s="1847" t="s">
        <v>16</v>
      </c>
      <c r="C205" s="0" t="s">
        <v>2430</v>
      </c>
      <c r="D205" s="0" t="s">
        <v>2431</v>
      </c>
      <c r="E205" s="0" t="s">
        <v>2432</v>
      </c>
      <c r="F205" s="0" t="s">
        <v>2364</v>
      </c>
      <c r="G205" s="0" t="s">
        <v>2433</v>
      </c>
      <c r="H205" s="0" t="s">
        <v>22</v>
      </c>
      <c r="I205" s="0" t="s">
        <v>952</v>
      </c>
    </row>
    <row customHeight="1" ht="11.25">
      <c r="A206" s="1847" t="s">
        <v>2319</v>
      </c>
      <c r="B206" s="1847" t="s">
        <v>16</v>
      </c>
      <c r="C206" s="0" t="s">
        <v>2438</v>
      </c>
      <c r="D206" s="0" t="s">
        <v>2439</v>
      </c>
      <c r="E206" s="0" t="s">
        <v>2440</v>
      </c>
      <c r="F206" s="0" t="s">
        <v>2338</v>
      </c>
      <c r="G206" s="0" t="s">
        <v>2441</v>
      </c>
      <c r="H206" s="0" t="s">
        <v>22</v>
      </c>
      <c r="I206" s="0" t="s">
        <v>952</v>
      </c>
    </row>
    <row customHeight="1" ht="11.25">
      <c r="A207" s="1847" t="s">
        <v>2319</v>
      </c>
      <c r="B207" s="1847" t="s">
        <v>16</v>
      </c>
      <c r="C207" s="0" t="s">
        <v>2442</v>
      </c>
      <c r="D207" s="0" t="s">
        <v>2443</v>
      </c>
      <c r="E207" s="0" t="s">
        <v>2444</v>
      </c>
      <c r="F207" s="0" t="s">
        <v>2445</v>
      </c>
      <c r="G207" s="0" t="s">
        <v>22</v>
      </c>
      <c r="H207" s="0" t="s">
        <v>22</v>
      </c>
      <c r="I207" s="0" t="s">
        <v>952</v>
      </c>
    </row>
    <row customHeight="1" ht="11.25">
      <c r="A208" s="1847" t="s">
        <v>2319</v>
      </c>
      <c r="B208" s="1847" t="s">
        <v>16</v>
      </c>
      <c r="C208" s="0" t="s">
        <v>13</v>
      </c>
      <c r="D208" s="0" t="s">
        <v>46</v>
      </c>
      <c r="E208" s="0" t="s">
        <v>49</v>
      </c>
      <c r="F208" s="0" t="s">
        <v>51</v>
      </c>
      <c r="G208" s="0" t="s">
        <v>22</v>
      </c>
      <c r="H208" s="0" t="s">
        <v>22</v>
      </c>
      <c r="I208" s="0" t="s">
        <v>952</v>
      </c>
    </row>
    <row customHeight="1" ht="11.25">
      <c r="A209" s="1847" t="s">
        <v>2319</v>
      </c>
      <c r="B209" s="1847" t="s">
        <v>16</v>
      </c>
      <c r="C209" s="0" t="s">
        <v>2449</v>
      </c>
      <c r="D209" s="0" t="s">
        <v>2450</v>
      </c>
      <c r="E209" s="0" t="s">
        <v>2451</v>
      </c>
      <c r="F209" s="0" t="s">
        <v>2452</v>
      </c>
      <c r="G209" s="0" t="s">
        <v>22</v>
      </c>
      <c r="H209" s="0" t="s">
        <v>22</v>
      </c>
      <c r="I209" s="0" t="s">
        <v>952</v>
      </c>
    </row>
    <row customHeight="1" ht="11.25">
      <c r="A210" s="1847" t="s">
        <v>2319</v>
      </c>
      <c r="B210" s="1847" t="s">
        <v>16</v>
      </c>
      <c r="C210" s="0" t="s">
        <v>2456</v>
      </c>
      <c r="D210" s="0" t="s">
        <v>2457</v>
      </c>
      <c r="E210" s="0" t="s">
        <v>2458</v>
      </c>
      <c r="F210" s="0" t="s">
        <v>2382</v>
      </c>
      <c r="G210" s="0" t="s">
        <v>22</v>
      </c>
      <c r="H210" s="0" t="s">
        <v>22</v>
      </c>
      <c r="I210" s="0" t="s">
        <v>952</v>
      </c>
    </row>
    <row customHeight="1" ht="11.25">
      <c r="A211" s="1847" t="s">
        <v>2319</v>
      </c>
      <c r="B211" s="1847" t="s">
        <v>16</v>
      </c>
      <c r="C211" s="0" t="s">
        <v>2462</v>
      </c>
      <c r="D211" s="0" t="s">
        <v>2463</v>
      </c>
      <c r="E211" s="0" t="s">
        <v>2464</v>
      </c>
      <c r="F211" s="0" t="s">
        <v>2408</v>
      </c>
      <c r="G211" s="0" t="s">
        <v>2465</v>
      </c>
      <c r="H211" s="0" t="s">
        <v>22</v>
      </c>
      <c r="I211" s="0" t="s">
        <v>952</v>
      </c>
    </row>
    <row customHeight="1" ht="11.25">
      <c r="A212" s="1847" t="s">
        <v>2319</v>
      </c>
      <c r="B212" s="1847" t="s">
        <v>16</v>
      </c>
      <c r="C212" s="0" t="s">
        <v>2645</v>
      </c>
      <c r="D212" s="0" t="s">
        <v>2646</v>
      </c>
      <c r="E212" s="0" t="s">
        <v>2647</v>
      </c>
      <c r="F212" s="0" t="s">
        <v>2331</v>
      </c>
      <c r="G212" s="0" t="s">
        <v>22</v>
      </c>
      <c r="H212" s="0" t="s">
        <v>22</v>
      </c>
      <c r="I212" s="0" t="s">
        <v>952</v>
      </c>
    </row>
    <row customHeight="1" ht="11.25">
      <c r="A213" s="1847" t="s">
        <v>2319</v>
      </c>
      <c r="B213" s="1847" t="s">
        <v>16</v>
      </c>
      <c r="C213" s="0" t="s">
        <v>2466</v>
      </c>
      <c r="D213" s="0" t="s">
        <v>2467</v>
      </c>
      <c r="E213" s="0" t="s">
        <v>2468</v>
      </c>
      <c r="F213" s="0" t="s">
        <v>2469</v>
      </c>
      <c r="G213" s="0" t="s">
        <v>2470</v>
      </c>
      <c r="H213" s="0" t="s">
        <v>22</v>
      </c>
      <c r="I213" s="0" t="s">
        <v>952</v>
      </c>
    </row>
    <row customHeight="1" ht="11.25">
      <c r="A214" s="1847" t="s">
        <v>2319</v>
      </c>
      <c r="B214" s="1847" t="s">
        <v>16</v>
      </c>
      <c r="C214" s="0" t="s">
        <v>2648</v>
      </c>
      <c r="D214" s="0" t="s">
        <v>2649</v>
      </c>
      <c r="E214" s="0" t="s">
        <v>2650</v>
      </c>
      <c r="F214" s="0" t="s">
        <v>2420</v>
      </c>
      <c r="G214" s="0" t="s">
        <v>2651</v>
      </c>
      <c r="H214" s="0" t="s">
        <v>22</v>
      </c>
      <c r="I214" s="0" t="s">
        <v>952</v>
      </c>
    </row>
    <row customHeight="1" ht="11.25">
      <c r="A215" s="1847" t="s">
        <v>2319</v>
      </c>
      <c r="B215" s="1847" t="s">
        <v>16</v>
      </c>
      <c r="C215" s="0" t="s">
        <v>2652</v>
      </c>
      <c r="D215" s="0" t="s">
        <v>2653</v>
      </c>
      <c r="E215" s="0" t="s">
        <v>2654</v>
      </c>
      <c r="F215" s="0" t="s">
        <v>2469</v>
      </c>
      <c r="G215" s="0" t="s">
        <v>22</v>
      </c>
      <c r="H215" s="0" t="s">
        <v>22</v>
      </c>
      <c r="I215" s="0" t="s">
        <v>952</v>
      </c>
    </row>
    <row customHeight="1" ht="11.25">
      <c r="A216" s="1847" t="s">
        <v>2319</v>
      </c>
      <c r="B216" s="1847" t="s">
        <v>16</v>
      </c>
      <c r="C216" s="0" t="s">
        <v>2655</v>
      </c>
      <c r="D216" s="0" t="s">
        <v>2656</v>
      </c>
      <c r="E216" s="0" t="s">
        <v>2657</v>
      </c>
      <c r="F216" s="0" t="s">
        <v>2331</v>
      </c>
      <c r="G216" s="0" t="s">
        <v>22</v>
      </c>
      <c r="H216" s="0" t="s">
        <v>22</v>
      </c>
      <c r="I216" s="0" t="s">
        <v>952</v>
      </c>
    </row>
    <row customHeight="1" ht="11.25">
      <c r="A217" s="1847" t="s">
        <v>2319</v>
      </c>
      <c r="B217" s="1847" t="s">
        <v>16</v>
      </c>
      <c r="C217" s="0" t="s">
        <v>2658</v>
      </c>
      <c r="D217" s="0" t="s">
        <v>2659</v>
      </c>
      <c r="E217" s="0" t="s">
        <v>2660</v>
      </c>
      <c r="F217" s="0" t="s">
        <v>2323</v>
      </c>
      <c r="G217" s="0" t="s">
        <v>22</v>
      </c>
      <c r="H217" s="0" t="s">
        <v>22</v>
      </c>
      <c r="I217" s="0" t="s">
        <v>952</v>
      </c>
    </row>
    <row customHeight="1" ht="11.25">
      <c r="A218" s="1847" t="s">
        <v>2319</v>
      </c>
      <c r="B218" s="1847" t="s">
        <v>16</v>
      </c>
      <c r="C218" s="0" t="s">
        <v>2481</v>
      </c>
      <c r="D218" s="0" t="s">
        <v>2482</v>
      </c>
      <c r="E218" s="0" t="s">
        <v>2483</v>
      </c>
      <c r="F218" s="0" t="s">
        <v>2364</v>
      </c>
      <c r="G218" s="0" t="s">
        <v>22</v>
      </c>
      <c r="H218" s="0" t="s">
        <v>22</v>
      </c>
      <c r="I218" s="0" t="s">
        <v>952</v>
      </c>
    </row>
    <row customHeight="1" ht="11.25">
      <c r="A219" s="1847" t="s">
        <v>2319</v>
      </c>
      <c r="B219" s="1847" t="s">
        <v>16</v>
      </c>
      <c r="C219" s="0" t="s">
        <v>2484</v>
      </c>
      <c r="D219" s="0" t="s">
        <v>2485</v>
      </c>
      <c r="E219" s="0" t="s">
        <v>2486</v>
      </c>
      <c r="F219" s="0" t="s">
        <v>2474</v>
      </c>
      <c r="G219" s="0" t="s">
        <v>2487</v>
      </c>
      <c r="H219" s="0" t="s">
        <v>22</v>
      </c>
      <c r="I219" s="0" t="s">
        <v>952</v>
      </c>
    </row>
    <row customHeight="1" ht="11.25">
      <c r="A220" s="1847" t="s">
        <v>2319</v>
      </c>
      <c r="B220" s="1847" t="s">
        <v>16</v>
      </c>
      <c r="C220" s="0" t="s">
        <v>2503</v>
      </c>
      <c r="D220" s="0" t="s">
        <v>2504</v>
      </c>
      <c r="E220" s="0" t="s">
        <v>2505</v>
      </c>
      <c r="F220" s="0" t="s">
        <v>2378</v>
      </c>
      <c r="G220" s="0" t="s">
        <v>2506</v>
      </c>
      <c r="H220" s="0" t="s">
        <v>2507</v>
      </c>
      <c r="I220" s="0" t="s">
        <v>952</v>
      </c>
    </row>
    <row customHeight="1" ht="11.25">
      <c r="A221" s="1847" t="s">
        <v>2319</v>
      </c>
      <c r="B221" s="1847" t="s">
        <v>16</v>
      </c>
      <c r="C221" s="0" t="s">
        <v>2508</v>
      </c>
      <c r="D221" s="0" t="s">
        <v>2509</v>
      </c>
      <c r="E221" s="0" t="s">
        <v>2510</v>
      </c>
      <c r="F221" s="0" t="s">
        <v>2378</v>
      </c>
      <c r="G221" s="0" t="s">
        <v>22</v>
      </c>
      <c r="H221" s="0" t="s">
        <v>22</v>
      </c>
      <c r="I221" s="0" t="s">
        <v>952</v>
      </c>
    </row>
    <row customHeight="1" ht="11.25">
      <c r="A222" s="1847" t="s">
        <v>2319</v>
      </c>
      <c r="B222" s="1847" t="s">
        <v>16</v>
      </c>
      <c r="C222" s="0" t="s">
        <v>2661</v>
      </c>
      <c r="D222" s="0" t="s">
        <v>2662</v>
      </c>
      <c r="E222" s="0" t="s">
        <v>2663</v>
      </c>
      <c r="F222" s="0" t="s">
        <v>2408</v>
      </c>
      <c r="G222" s="0" t="s">
        <v>22</v>
      </c>
      <c r="H222" s="0" t="s">
        <v>22</v>
      </c>
      <c r="I222" s="0" t="s">
        <v>952</v>
      </c>
    </row>
    <row customHeight="1" ht="11.25">
      <c r="A223" s="1847" t="s">
        <v>2319</v>
      </c>
      <c r="B223" s="1847" t="s">
        <v>16</v>
      </c>
      <c r="C223" s="0" t="s">
        <v>2664</v>
      </c>
      <c r="D223" s="0" t="s">
        <v>2665</v>
      </c>
      <c r="E223" s="0" t="s">
        <v>2666</v>
      </c>
      <c r="F223" s="0" t="s">
        <v>2331</v>
      </c>
      <c r="G223" s="0" t="s">
        <v>22</v>
      </c>
      <c r="H223" s="0" t="s">
        <v>22</v>
      </c>
      <c r="I223" s="0" t="s">
        <v>952</v>
      </c>
    </row>
    <row customHeight="1" ht="11.25">
      <c r="A224" s="1847" t="s">
        <v>2319</v>
      </c>
      <c r="B224" s="1847" t="s">
        <v>16</v>
      </c>
      <c r="C224" s="0" t="s">
        <v>2518</v>
      </c>
      <c r="D224" s="0" t="s">
        <v>2519</v>
      </c>
      <c r="E224" s="0" t="s">
        <v>2520</v>
      </c>
      <c r="F224" s="0" t="s">
        <v>2323</v>
      </c>
      <c r="G224" s="0" t="s">
        <v>22</v>
      </c>
      <c r="H224" s="0" t="s">
        <v>22</v>
      </c>
      <c r="I224" s="0" t="s">
        <v>952</v>
      </c>
    </row>
    <row customHeight="1" ht="11.25">
      <c r="A225" s="1847" t="s">
        <v>2319</v>
      </c>
      <c r="B225" s="1847" t="s">
        <v>16</v>
      </c>
      <c r="C225" s="0" t="s">
        <v>2667</v>
      </c>
      <c r="D225" s="0" t="s">
        <v>2668</v>
      </c>
      <c r="E225" s="0" t="s">
        <v>2669</v>
      </c>
      <c r="F225" s="0" t="s">
        <v>2342</v>
      </c>
      <c r="G225" s="0" t="s">
        <v>2670</v>
      </c>
      <c r="H225" s="0" t="s">
        <v>22</v>
      </c>
      <c r="I225" s="0" t="s">
        <v>952</v>
      </c>
    </row>
    <row customHeight="1" ht="11.25">
      <c r="A226" s="1847" t="s">
        <v>2319</v>
      </c>
      <c r="B226" s="1847" t="s">
        <v>16</v>
      </c>
      <c r="C226" s="0" t="s">
        <v>2521</v>
      </c>
      <c r="D226" s="0" t="s">
        <v>2522</v>
      </c>
      <c r="E226" s="0" t="s">
        <v>2523</v>
      </c>
      <c r="F226" s="0" t="s">
        <v>2331</v>
      </c>
      <c r="G226" s="0" t="s">
        <v>22</v>
      </c>
      <c r="H226" s="0" t="s">
        <v>22</v>
      </c>
      <c r="I226" s="0" t="s">
        <v>952</v>
      </c>
    </row>
    <row customHeight="1" ht="11.25">
      <c r="A227" s="1847" t="s">
        <v>2319</v>
      </c>
      <c r="B227" s="1847" t="s">
        <v>16</v>
      </c>
      <c r="C227" s="0" t="s">
        <v>2524</v>
      </c>
      <c r="D227" s="0" t="s">
        <v>2525</v>
      </c>
      <c r="E227" s="0" t="s">
        <v>2526</v>
      </c>
      <c r="F227" s="0" t="s">
        <v>2323</v>
      </c>
      <c r="G227" s="0" t="s">
        <v>2527</v>
      </c>
      <c r="H227" s="0" t="s">
        <v>22</v>
      </c>
      <c r="I227" s="0" t="s">
        <v>952</v>
      </c>
    </row>
    <row customHeight="1" ht="11.25">
      <c r="A228" s="1847" t="s">
        <v>2319</v>
      </c>
      <c r="B228" s="1847" t="s">
        <v>16</v>
      </c>
      <c r="C228" s="0" t="s">
        <v>2534</v>
      </c>
      <c r="D228" s="0" t="s">
        <v>2535</v>
      </c>
      <c r="E228" s="0" t="s">
        <v>2536</v>
      </c>
      <c r="F228" s="0" t="s">
        <v>2323</v>
      </c>
      <c r="G228" s="0" t="s">
        <v>2537</v>
      </c>
      <c r="H228" s="0" t="s">
        <v>22</v>
      </c>
      <c r="I228" s="0" t="s">
        <v>952</v>
      </c>
    </row>
    <row customHeight="1" ht="11.25">
      <c r="A229" s="1847" t="s">
        <v>2319</v>
      </c>
      <c r="B229" s="1847" t="s">
        <v>16</v>
      </c>
      <c r="C229" s="0" t="s">
        <v>2554</v>
      </c>
      <c r="D229" s="0" t="s">
        <v>2555</v>
      </c>
      <c r="E229" s="0" t="s">
        <v>2556</v>
      </c>
      <c r="F229" s="0" t="s">
        <v>2382</v>
      </c>
      <c r="G229" s="0" t="s">
        <v>22</v>
      </c>
      <c r="H229" s="0" t="s">
        <v>22</v>
      </c>
      <c r="I229" s="0" t="s">
        <v>952</v>
      </c>
    </row>
    <row customHeight="1" ht="11.25">
      <c r="A230" s="1847" t="s">
        <v>2319</v>
      </c>
      <c r="B230" s="1847" t="s">
        <v>16</v>
      </c>
      <c r="C230" s="0" t="s">
        <v>2557</v>
      </c>
      <c r="D230" s="0" t="s">
        <v>2558</v>
      </c>
      <c r="E230" s="0" t="s">
        <v>2559</v>
      </c>
      <c r="F230" s="0" t="s">
        <v>2323</v>
      </c>
      <c r="G230" s="0" t="s">
        <v>2560</v>
      </c>
      <c r="H230" s="0" t="s">
        <v>22</v>
      </c>
      <c r="I230" s="0" t="s">
        <v>952</v>
      </c>
    </row>
    <row customHeight="1" ht="11.25">
      <c r="A231" s="1847" t="s">
        <v>2319</v>
      </c>
      <c r="B231" s="1847" t="s">
        <v>16</v>
      </c>
      <c r="C231" s="0" t="s">
        <v>2678</v>
      </c>
      <c r="D231" s="0" t="s">
        <v>2679</v>
      </c>
      <c r="E231" s="0" t="s">
        <v>2680</v>
      </c>
      <c r="F231" s="0" t="s">
        <v>2408</v>
      </c>
      <c r="G231" s="0" t="s">
        <v>22</v>
      </c>
      <c r="H231" s="0" t="s">
        <v>22</v>
      </c>
      <c r="I231" s="0" t="s">
        <v>952</v>
      </c>
    </row>
    <row customHeight="1" ht="11.25">
      <c r="A232" s="1847" t="s">
        <v>2319</v>
      </c>
      <c r="B232" s="1847" t="s">
        <v>16</v>
      </c>
      <c r="C232" s="0" t="s">
        <v>2564</v>
      </c>
      <c r="D232" s="0" t="s">
        <v>2565</v>
      </c>
      <c r="E232" s="0" t="s">
        <v>2566</v>
      </c>
      <c r="F232" s="0" t="s">
        <v>2323</v>
      </c>
      <c r="G232" s="0" t="s">
        <v>2567</v>
      </c>
      <c r="H232" s="0" t="s">
        <v>22</v>
      </c>
      <c r="I232" s="0" t="s">
        <v>952</v>
      </c>
    </row>
    <row customHeight="1" ht="11.25">
      <c r="A233" s="1847" t="s">
        <v>2319</v>
      </c>
      <c r="B233" s="1847" t="s">
        <v>16</v>
      </c>
      <c r="C233" s="0" t="s">
        <v>2568</v>
      </c>
      <c r="D233" s="0" t="s">
        <v>2569</v>
      </c>
      <c r="E233" s="0" t="s">
        <v>2570</v>
      </c>
      <c r="F233" s="0" t="s">
        <v>2474</v>
      </c>
      <c r="G233" s="0" t="s">
        <v>22</v>
      </c>
      <c r="H233" s="0" t="s">
        <v>22</v>
      </c>
      <c r="I233" s="0" t="s">
        <v>952</v>
      </c>
    </row>
    <row customHeight="1" ht="11.25">
      <c r="A234" s="1847" t="s">
        <v>2319</v>
      </c>
      <c r="B234" s="1847" t="s">
        <v>16</v>
      </c>
      <c r="C234" s="0" t="s">
        <v>2579</v>
      </c>
      <c r="D234" s="0" t="s">
        <v>2580</v>
      </c>
      <c r="E234" s="0" t="s">
        <v>2581</v>
      </c>
      <c r="F234" s="0" t="s">
        <v>2382</v>
      </c>
      <c r="G234" s="0" t="s">
        <v>2582</v>
      </c>
      <c r="H234" s="0" t="s">
        <v>22</v>
      </c>
      <c r="I234" s="0" t="s">
        <v>952</v>
      </c>
    </row>
    <row customHeight="1" ht="11.25">
      <c r="A235" s="1847" t="s">
        <v>2319</v>
      </c>
      <c r="B235" s="1847" t="s">
        <v>16</v>
      </c>
      <c r="C235" s="0" t="s">
        <v>22</v>
      </c>
      <c r="D235" s="0" t="s">
        <v>2592</v>
      </c>
      <c r="E235" s="0" t="s">
        <v>2593</v>
      </c>
      <c r="F235" s="0" t="s">
        <v>2323</v>
      </c>
      <c r="G235" s="0" t="s">
        <v>22</v>
      </c>
      <c r="H235" s="0" t="s">
        <v>22</v>
      </c>
      <c r="I235" s="0" t="s">
        <v>952</v>
      </c>
    </row>
    <row customHeight="1" ht="11.25">
      <c r="A236" s="1847" t="s">
        <v>2319</v>
      </c>
      <c r="B236" s="1847" t="s">
        <v>16</v>
      </c>
      <c r="C236" s="0" t="s">
        <v>2597</v>
      </c>
      <c r="D236" s="0" t="s">
        <v>2598</v>
      </c>
      <c r="E236" s="0" t="s">
        <v>2599</v>
      </c>
      <c r="F236" s="0" t="s">
        <v>2600</v>
      </c>
      <c r="G236" s="0" t="s">
        <v>22</v>
      </c>
      <c r="H236" s="0" t="s">
        <v>22</v>
      </c>
      <c r="I236" s="0" t="s">
        <v>952</v>
      </c>
    </row>
    <row customHeight="1" ht="11.25">
      <c r="A237" s="1847" t="s">
        <v>2319</v>
      </c>
      <c r="B237" s="1847" t="s">
        <v>16</v>
      </c>
      <c r="C237" s="0" t="s">
        <v>2601</v>
      </c>
      <c r="D237" s="0" t="s">
        <v>2602</v>
      </c>
      <c r="E237" s="0" t="s">
        <v>2599</v>
      </c>
      <c r="F237" s="0" t="s">
        <v>2603</v>
      </c>
      <c r="G237" s="0" t="s">
        <v>2604</v>
      </c>
      <c r="H237" s="0" t="s">
        <v>22</v>
      </c>
      <c r="I237" s="0" t="s">
        <v>952</v>
      </c>
    </row>
    <row customHeight="1" ht="11.25">
      <c r="A238" s="1847" t="s">
        <v>2319</v>
      </c>
      <c r="B238" s="1847" t="s">
        <v>16</v>
      </c>
      <c r="C238" s="0" t="s">
        <v>2690</v>
      </c>
      <c r="D238" s="0" t="s">
        <v>2691</v>
      </c>
      <c r="E238" s="0" t="s">
        <v>2692</v>
      </c>
      <c r="F238" s="0" t="s">
        <v>2323</v>
      </c>
      <c r="G238" s="0" t="s">
        <v>22</v>
      </c>
      <c r="H238" s="0" t="s">
        <v>22</v>
      </c>
      <c r="I238" s="0" t="s">
        <v>1700</v>
      </c>
    </row>
    <row customHeight="1" ht="11.25">
      <c r="A239" s="1847" t="s">
        <v>2319</v>
      </c>
      <c r="B239" s="1847" t="s">
        <v>16</v>
      </c>
      <c r="C239" s="0" t="s">
        <v>2693</v>
      </c>
      <c r="D239" s="0" t="s">
        <v>2694</v>
      </c>
      <c r="E239" s="0" t="s">
        <v>2695</v>
      </c>
      <c r="F239" s="0" t="s">
        <v>2323</v>
      </c>
      <c r="G239" s="0" t="s">
        <v>2696</v>
      </c>
      <c r="H239" s="0" t="s">
        <v>22</v>
      </c>
      <c r="I239" s="0" t="s">
        <v>1700</v>
      </c>
    </row>
    <row customHeight="1" ht="11.25">
      <c r="A240" s="1847" t="s">
        <v>2319</v>
      </c>
      <c r="B240" s="1847" t="s">
        <v>16</v>
      </c>
      <c r="C240" s="0" t="s">
        <v>2697</v>
      </c>
      <c r="D240" s="0" t="s">
        <v>2698</v>
      </c>
      <c r="E240" s="0" t="s">
        <v>2699</v>
      </c>
      <c r="F240" s="0" t="s">
        <v>584</v>
      </c>
      <c r="G240" s="0" t="s">
        <v>22</v>
      </c>
      <c r="H240" s="0" t="s">
        <v>22</v>
      </c>
      <c r="I240" s="0" t="s">
        <v>1700</v>
      </c>
    </row>
    <row customHeight="1" ht="11.25">
      <c r="A241" s="1847" t="s">
        <v>2319</v>
      </c>
      <c r="B241" s="1847" t="s">
        <v>16</v>
      </c>
      <c r="C241" s="0" t="s">
        <v>2700</v>
      </c>
      <c r="D241" s="0" t="s">
        <v>2701</v>
      </c>
      <c r="E241" s="0" t="s">
        <v>2702</v>
      </c>
      <c r="F241" s="0" t="s">
        <v>584</v>
      </c>
      <c r="G241" s="0" t="s">
        <v>22</v>
      </c>
      <c r="H241" s="0" t="s">
        <v>22</v>
      </c>
      <c r="I241" s="0" t="s">
        <v>1700</v>
      </c>
    </row>
    <row customHeight="1" ht="11.25">
      <c r="A242" s="1847" t="s">
        <v>2319</v>
      </c>
      <c r="B242" s="1847" t="s">
        <v>16</v>
      </c>
      <c r="C242" s="0" t="s">
        <v>2703</v>
      </c>
      <c r="D242" s="0" t="s">
        <v>2704</v>
      </c>
      <c r="E242" s="0" t="s">
        <v>2705</v>
      </c>
      <c r="F242" s="0" t="s">
        <v>2474</v>
      </c>
      <c r="G242" s="0" t="s">
        <v>22</v>
      </c>
      <c r="H242" s="0" t="s">
        <v>22</v>
      </c>
      <c r="I242" s="0" t="s">
        <v>1700</v>
      </c>
    </row>
    <row customHeight="1" ht="11.25">
      <c r="A243" s="1847" t="s">
        <v>2319</v>
      </c>
      <c r="B243" s="1847" t="s">
        <v>16</v>
      </c>
      <c r="C243" s="0" t="s">
        <v>2706</v>
      </c>
      <c r="D243" s="0" t="s">
        <v>2707</v>
      </c>
      <c r="E243" s="0" t="s">
        <v>2708</v>
      </c>
      <c r="F243" s="0" t="s">
        <v>2323</v>
      </c>
      <c r="G243" s="0" t="s">
        <v>22</v>
      </c>
      <c r="H243" s="0" t="s">
        <v>22</v>
      </c>
      <c r="I243" s="0" t="s">
        <v>1700</v>
      </c>
    </row>
    <row customHeight="1" ht="11.25">
      <c r="A244" s="1847" t="s">
        <v>2319</v>
      </c>
      <c r="B244" s="1847" t="s">
        <v>16</v>
      </c>
      <c r="C244" s="0" t="s">
        <v>2709</v>
      </c>
      <c r="D244" s="0" t="s">
        <v>2710</v>
      </c>
      <c r="E244" s="0" t="s">
        <v>2711</v>
      </c>
      <c r="F244" s="0" t="s">
        <v>2712</v>
      </c>
      <c r="G244" s="0" t="s">
        <v>22</v>
      </c>
      <c r="H244" s="0" t="s">
        <v>22</v>
      </c>
      <c r="I244" s="0" t="s">
        <v>1700</v>
      </c>
    </row>
    <row customHeight="1" ht="11.25">
      <c r="A245" s="1847" t="s">
        <v>2319</v>
      </c>
      <c r="B245" s="1847" t="s">
        <v>16</v>
      </c>
      <c r="C245" s="0" t="s">
        <v>2361</v>
      </c>
      <c r="D245" s="0" t="s">
        <v>2362</v>
      </c>
      <c r="E245" s="0" t="s">
        <v>2363</v>
      </c>
      <c r="F245" s="0" t="s">
        <v>2364</v>
      </c>
      <c r="G245" s="0" t="s">
        <v>22</v>
      </c>
      <c r="H245" s="0" t="s">
        <v>22</v>
      </c>
      <c r="I245" s="0" t="s">
        <v>1700</v>
      </c>
    </row>
    <row customHeight="1" ht="11.25">
      <c r="A246" s="1847" t="s">
        <v>2319</v>
      </c>
      <c r="B246" s="1847" t="s">
        <v>16</v>
      </c>
      <c r="C246" s="0" t="s">
        <v>2365</v>
      </c>
      <c r="D246" s="0" t="s">
        <v>2366</v>
      </c>
      <c r="E246" s="0" t="s">
        <v>2367</v>
      </c>
      <c r="F246" s="0" t="s">
        <v>2331</v>
      </c>
      <c r="G246" s="0" t="s">
        <v>22</v>
      </c>
      <c r="H246" s="0" t="s">
        <v>22</v>
      </c>
      <c r="I246" s="0" t="s">
        <v>1700</v>
      </c>
    </row>
    <row customHeight="1" ht="11.25">
      <c r="A247" s="1847" t="s">
        <v>2319</v>
      </c>
      <c r="B247" s="1847" t="s">
        <v>16</v>
      </c>
      <c r="C247" s="0" t="s">
        <v>2625</v>
      </c>
      <c r="D247" s="0" t="s">
        <v>2626</v>
      </c>
      <c r="E247" s="0" t="s">
        <v>2627</v>
      </c>
      <c r="F247" s="0" t="s">
        <v>2374</v>
      </c>
      <c r="G247" s="0" t="s">
        <v>2628</v>
      </c>
      <c r="H247" s="0" t="s">
        <v>22</v>
      </c>
      <c r="I247" s="0" t="s">
        <v>1700</v>
      </c>
    </row>
    <row customHeight="1" ht="11.25">
      <c r="A248" s="1847" t="s">
        <v>2319</v>
      </c>
      <c r="B248" s="1847" t="s">
        <v>16</v>
      </c>
      <c r="C248" s="0" t="s">
        <v>2371</v>
      </c>
      <c r="D248" s="0" t="s">
        <v>2372</v>
      </c>
      <c r="E248" s="0" t="s">
        <v>2373</v>
      </c>
      <c r="F248" s="0" t="s">
        <v>2374</v>
      </c>
      <c r="G248" s="0" t="s">
        <v>22</v>
      </c>
      <c r="H248" s="0" t="s">
        <v>22</v>
      </c>
      <c r="I248" s="0" t="s">
        <v>1700</v>
      </c>
    </row>
    <row customHeight="1" ht="11.25">
      <c r="A249" s="1847" t="s">
        <v>2319</v>
      </c>
      <c r="B249" s="1847" t="s">
        <v>16</v>
      </c>
      <c r="C249" s="0" t="s">
        <v>2635</v>
      </c>
      <c r="D249" s="0" t="s">
        <v>2636</v>
      </c>
      <c r="E249" s="0" t="s">
        <v>2637</v>
      </c>
      <c r="F249" s="0" t="s">
        <v>2378</v>
      </c>
      <c r="G249" s="0" t="s">
        <v>22</v>
      </c>
      <c r="H249" s="0" t="s">
        <v>22</v>
      </c>
      <c r="I249" s="0" t="s">
        <v>1700</v>
      </c>
    </row>
    <row customHeight="1" ht="11.25">
      <c r="A250" s="1847" t="s">
        <v>2319</v>
      </c>
      <c r="B250" s="1847" t="s">
        <v>16</v>
      </c>
      <c r="C250" s="0" t="s">
        <v>2383</v>
      </c>
      <c r="D250" s="0" t="s">
        <v>2384</v>
      </c>
      <c r="E250" s="0" t="s">
        <v>2385</v>
      </c>
      <c r="F250" s="0" t="s">
        <v>2323</v>
      </c>
      <c r="G250" s="0" t="s">
        <v>22</v>
      </c>
      <c r="H250" s="0" t="s">
        <v>22</v>
      </c>
      <c r="I250" s="0" t="s">
        <v>1700</v>
      </c>
    </row>
    <row customHeight="1" ht="11.25">
      <c r="A251" s="1847" t="s">
        <v>2319</v>
      </c>
      <c r="B251" s="1847" t="s">
        <v>16</v>
      </c>
      <c r="C251" s="0" t="s">
        <v>2713</v>
      </c>
      <c r="D251" s="0" t="s">
        <v>2714</v>
      </c>
      <c r="E251" s="0" t="s">
        <v>2715</v>
      </c>
      <c r="F251" s="0" t="s">
        <v>2452</v>
      </c>
      <c r="G251" s="0" t="s">
        <v>22</v>
      </c>
      <c r="H251" s="0" t="s">
        <v>22</v>
      </c>
      <c r="I251" s="0" t="s">
        <v>1700</v>
      </c>
    </row>
    <row customHeight="1" ht="11.25">
      <c r="A252" s="1847" t="s">
        <v>2319</v>
      </c>
      <c r="B252" s="1847" t="s">
        <v>16</v>
      </c>
      <c r="C252" s="0" t="s">
        <v>2386</v>
      </c>
      <c r="D252" s="0" t="s">
        <v>2387</v>
      </c>
      <c r="E252" s="0" t="s">
        <v>2388</v>
      </c>
      <c r="F252" s="0" t="s">
        <v>2389</v>
      </c>
      <c r="G252" s="0" t="s">
        <v>2390</v>
      </c>
      <c r="H252" s="0" t="s">
        <v>22</v>
      </c>
      <c r="I252" s="0" t="s">
        <v>1700</v>
      </c>
    </row>
    <row customHeight="1" ht="11.25">
      <c r="A253" s="1847" t="s">
        <v>2319</v>
      </c>
      <c r="B253" s="1847" t="s">
        <v>16</v>
      </c>
      <c r="C253" s="0" t="s">
        <v>2394</v>
      </c>
      <c r="D253" s="0" t="s">
        <v>2395</v>
      </c>
      <c r="E253" s="0" t="s">
        <v>2396</v>
      </c>
      <c r="F253" s="0" t="s">
        <v>2397</v>
      </c>
      <c r="G253" s="0" t="s">
        <v>2398</v>
      </c>
      <c r="H253" s="0" t="s">
        <v>22</v>
      </c>
      <c r="I253" s="0" t="s">
        <v>1700</v>
      </c>
    </row>
    <row customHeight="1" ht="11.25">
      <c r="A254" s="1847" t="s">
        <v>2319</v>
      </c>
      <c r="B254" s="1847" t="s">
        <v>16</v>
      </c>
      <c r="C254" s="0" t="s">
        <v>2716</v>
      </c>
      <c r="D254" s="0" t="s">
        <v>2717</v>
      </c>
      <c r="E254" s="0" t="s">
        <v>2718</v>
      </c>
      <c r="F254" s="0" t="s">
        <v>2346</v>
      </c>
      <c r="G254" s="0" t="s">
        <v>22</v>
      </c>
      <c r="H254" s="0" t="s">
        <v>22</v>
      </c>
      <c r="I254" s="0" t="s">
        <v>1700</v>
      </c>
    </row>
    <row customHeight="1" ht="11.25">
      <c r="A255" s="1847" t="s">
        <v>2319</v>
      </c>
      <c r="B255" s="1847" t="s">
        <v>16</v>
      </c>
      <c r="C255" s="0" t="s">
        <v>2430</v>
      </c>
      <c r="D255" s="0" t="s">
        <v>2431</v>
      </c>
      <c r="E255" s="0" t="s">
        <v>2432</v>
      </c>
      <c r="F255" s="0" t="s">
        <v>2364</v>
      </c>
      <c r="G255" s="0" t="s">
        <v>2433</v>
      </c>
      <c r="H255" s="0" t="s">
        <v>22</v>
      </c>
      <c r="I255" s="0" t="s">
        <v>1700</v>
      </c>
    </row>
    <row customHeight="1" ht="11.25">
      <c r="A256" s="1847" t="s">
        <v>2319</v>
      </c>
      <c r="B256" s="1847" t="s">
        <v>16</v>
      </c>
      <c r="C256" s="0" t="s">
        <v>2719</v>
      </c>
      <c r="D256" s="0" t="s">
        <v>2720</v>
      </c>
      <c r="E256" s="0" t="s">
        <v>2721</v>
      </c>
      <c r="F256" s="0" t="s">
        <v>2469</v>
      </c>
      <c r="G256" s="0" t="s">
        <v>2722</v>
      </c>
      <c r="H256" s="0" t="s">
        <v>22</v>
      </c>
      <c r="I256" s="0" t="s">
        <v>1700</v>
      </c>
    </row>
    <row customHeight="1" ht="11.25">
      <c r="A257" s="1847" t="s">
        <v>2319</v>
      </c>
      <c r="B257" s="1847" t="s">
        <v>16</v>
      </c>
      <c r="C257" s="0" t="s">
        <v>2456</v>
      </c>
      <c r="D257" s="0" t="s">
        <v>2457</v>
      </c>
      <c r="E257" s="0" t="s">
        <v>2458</v>
      </c>
      <c r="F257" s="0" t="s">
        <v>2382</v>
      </c>
      <c r="G257" s="0" t="s">
        <v>22</v>
      </c>
      <c r="H257" s="0" t="s">
        <v>22</v>
      </c>
      <c r="I257" s="0" t="s">
        <v>1700</v>
      </c>
    </row>
    <row customHeight="1" ht="11.25">
      <c r="A258" s="1847" t="s">
        <v>2319</v>
      </c>
      <c r="B258" s="1847" t="s">
        <v>16</v>
      </c>
      <c r="C258" s="0" t="s">
        <v>2723</v>
      </c>
      <c r="D258" s="0" t="s">
        <v>2724</v>
      </c>
      <c r="E258" s="0" t="s">
        <v>2725</v>
      </c>
      <c r="F258" s="0" t="s">
        <v>2323</v>
      </c>
      <c r="G258" s="0" t="s">
        <v>22</v>
      </c>
      <c r="H258" s="0" t="s">
        <v>22</v>
      </c>
      <c r="I258" s="0" t="s">
        <v>1700</v>
      </c>
    </row>
    <row customHeight="1" ht="11.25">
      <c r="A259" s="1847" t="s">
        <v>2319</v>
      </c>
      <c r="B259" s="1847" t="s">
        <v>16</v>
      </c>
      <c r="C259" s="0" t="s">
        <v>2726</v>
      </c>
      <c r="D259" s="0" t="s">
        <v>2727</v>
      </c>
      <c r="E259" s="0" t="s">
        <v>2728</v>
      </c>
      <c r="F259" s="0" t="s">
        <v>2389</v>
      </c>
      <c r="G259" s="0" t="s">
        <v>22</v>
      </c>
      <c r="H259" s="0" t="s">
        <v>22</v>
      </c>
      <c r="I259" s="0" t="s">
        <v>1700</v>
      </c>
    </row>
    <row customHeight="1" ht="11.25">
      <c r="A260" s="1847" t="s">
        <v>2319</v>
      </c>
      <c r="B260" s="1847" t="s">
        <v>16</v>
      </c>
      <c r="C260" s="0" t="s">
        <v>2729</v>
      </c>
      <c r="D260" s="0" t="s">
        <v>2730</v>
      </c>
      <c r="E260" s="0" t="s">
        <v>2731</v>
      </c>
      <c r="F260" s="0" t="s">
        <v>2338</v>
      </c>
      <c r="G260" s="0" t="s">
        <v>22</v>
      </c>
      <c r="H260" s="0" t="s">
        <v>22</v>
      </c>
      <c r="I260" s="0" t="s">
        <v>1700</v>
      </c>
    </row>
    <row customHeight="1" ht="11.25">
      <c r="A261" s="1847" t="s">
        <v>2319</v>
      </c>
      <c r="B261" s="1847" t="s">
        <v>16</v>
      </c>
      <c r="C261" s="0" t="s">
        <v>2732</v>
      </c>
      <c r="D261" s="0" t="s">
        <v>2733</v>
      </c>
      <c r="E261" s="0" t="s">
        <v>2734</v>
      </c>
      <c r="F261" s="0" t="s">
        <v>2474</v>
      </c>
      <c r="G261" s="0" t="s">
        <v>22</v>
      </c>
      <c r="H261" s="0" t="s">
        <v>22</v>
      </c>
      <c r="I261" s="0" t="s">
        <v>1700</v>
      </c>
    </row>
    <row customHeight="1" ht="11.25">
      <c r="A262" s="1847" t="s">
        <v>2319</v>
      </c>
      <c r="B262" s="1847" t="s">
        <v>16</v>
      </c>
      <c r="C262" s="0" t="s">
        <v>2735</v>
      </c>
      <c r="D262" s="0" t="s">
        <v>2736</v>
      </c>
      <c r="E262" s="0" t="s">
        <v>2737</v>
      </c>
      <c r="F262" s="0" t="s">
        <v>2323</v>
      </c>
      <c r="G262" s="0" t="s">
        <v>22</v>
      </c>
      <c r="H262" s="0" t="s">
        <v>22</v>
      </c>
      <c r="I262" s="0" t="s">
        <v>1700</v>
      </c>
    </row>
    <row customHeight="1" ht="11.25">
      <c r="A263" s="1847" t="s">
        <v>2319</v>
      </c>
      <c r="B263" s="1847" t="s">
        <v>16</v>
      </c>
      <c r="C263" s="0" t="s">
        <v>2738</v>
      </c>
      <c r="D263" s="0" t="s">
        <v>2739</v>
      </c>
      <c r="E263" s="0" t="s">
        <v>2740</v>
      </c>
      <c r="F263" s="0" t="s">
        <v>2741</v>
      </c>
      <c r="G263" s="0" t="s">
        <v>22</v>
      </c>
      <c r="H263" s="0" t="s">
        <v>22</v>
      </c>
      <c r="I263" s="0" t="s">
        <v>1700</v>
      </c>
    </row>
    <row customHeight="1" ht="11.25">
      <c r="A264" s="1847" t="s">
        <v>2319</v>
      </c>
      <c r="B264" s="1847" t="s">
        <v>16</v>
      </c>
      <c r="C264" s="0" t="s">
        <v>2503</v>
      </c>
      <c r="D264" s="0" t="s">
        <v>2504</v>
      </c>
      <c r="E264" s="0" t="s">
        <v>2505</v>
      </c>
      <c r="F264" s="0" t="s">
        <v>2378</v>
      </c>
      <c r="G264" s="0" t="s">
        <v>2506</v>
      </c>
      <c r="H264" s="0" t="s">
        <v>2507</v>
      </c>
      <c r="I264" s="0" t="s">
        <v>1700</v>
      </c>
    </row>
    <row customHeight="1" ht="11.25">
      <c r="A265" s="1847" t="s">
        <v>2319</v>
      </c>
      <c r="B265" s="1847" t="s">
        <v>16</v>
      </c>
      <c r="C265" s="0" t="s">
        <v>2742</v>
      </c>
      <c r="D265" s="0" t="s">
        <v>2743</v>
      </c>
      <c r="E265" s="0" t="s">
        <v>2744</v>
      </c>
      <c r="F265" s="0" t="s">
        <v>2331</v>
      </c>
      <c r="G265" s="0" t="s">
        <v>22</v>
      </c>
      <c r="H265" s="0" t="s">
        <v>22</v>
      </c>
      <c r="I265" s="0" t="s">
        <v>1700</v>
      </c>
    </row>
    <row customHeight="1" ht="11.25">
      <c r="A266" s="1847" t="s">
        <v>2319</v>
      </c>
      <c r="B266" s="1847" t="s">
        <v>16</v>
      </c>
      <c r="C266" s="0" t="s">
        <v>2745</v>
      </c>
      <c r="D266" s="0" t="s">
        <v>2746</v>
      </c>
      <c r="E266" s="0" t="s">
        <v>2747</v>
      </c>
      <c r="F266" s="0" t="s">
        <v>2342</v>
      </c>
      <c r="G266" s="0" t="s">
        <v>22</v>
      </c>
      <c r="H266" s="0" t="s">
        <v>22</v>
      </c>
      <c r="I266" s="0" t="s">
        <v>1700</v>
      </c>
    </row>
    <row customHeight="1" ht="11.25">
      <c r="A267" s="1847" t="s">
        <v>2319</v>
      </c>
      <c r="B267" s="1847" t="s">
        <v>16</v>
      </c>
      <c r="C267" s="0" t="s">
        <v>2748</v>
      </c>
      <c r="D267" s="0" t="s">
        <v>2749</v>
      </c>
      <c r="E267" s="0" t="s">
        <v>2750</v>
      </c>
      <c r="F267" s="0" t="s">
        <v>2397</v>
      </c>
      <c r="G267" s="0" t="s">
        <v>22</v>
      </c>
      <c r="H267" s="0" t="s">
        <v>22</v>
      </c>
      <c r="I267" s="0" t="s">
        <v>1700</v>
      </c>
    </row>
    <row customHeight="1" ht="11.25">
      <c r="A268" s="1847" t="s">
        <v>2319</v>
      </c>
      <c r="B268" s="1847" t="s">
        <v>16</v>
      </c>
      <c r="C268" s="0" t="s">
        <v>2751</v>
      </c>
      <c r="D268" s="0" t="s">
        <v>2752</v>
      </c>
      <c r="E268" s="0" t="s">
        <v>2753</v>
      </c>
      <c r="F268" s="0" t="s">
        <v>2338</v>
      </c>
      <c r="G268" s="0" t="s">
        <v>22</v>
      </c>
      <c r="H268" s="0" t="s">
        <v>22</v>
      </c>
      <c r="I268" s="0" t="s">
        <v>1700</v>
      </c>
    </row>
    <row customHeight="1" ht="11.25">
      <c r="A269" s="1847" t="s">
        <v>2319</v>
      </c>
      <c r="B269" s="1847" t="s">
        <v>16</v>
      </c>
      <c r="C269" s="0" t="s">
        <v>2754</v>
      </c>
      <c r="D269" s="0" t="s">
        <v>2755</v>
      </c>
      <c r="E269" s="0" t="s">
        <v>2756</v>
      </c>
      <c r="F269" s="0" t="s">
        <v>2420</v>
      </c>
      <c r="G269" s="0" t="s">
        <v>2757</v>
      </c>
      <c r="H269" s="0" t="s">
        <v>22</v>
      </c>
      <c r="I269" s="0" t="s">
        <v>1700</v>
      </c>
    </row>
    <row customHeight="1" ht="11.25">
      <c r="A270" s="1847" t="s">
        <v>2319</v>
      </c>
      <c r="B270" s="1847" t="s">
        <v>16</v>
      </c>
      <c r="C270" s="0" t="s">
        <v>2758</v>
      </c>
      <c r="D270" s="0" t="s">
        <v>2759</v>
      </c>
      <c r="E270" s="0" t="s">
        <v>2760</v>
      </c>
      <c r="F270" s="0" t="s">
        <v>2323</v>
      </c>
      <c r="G270" s="0" t="s">
        <v>22</v>
      </c>
      <c r="H270" s="0" t="s">
        <v>22</v>
      </c>
      <c r="I270" s="0" t="s">
        <v>1700</v>
      </c>
    </row>
    <row customHeight="1" ht="11.25">
      <c r="A271" s="1847" t="s">
        <v>2319</v>
      </c>
      <c r="B271" s="1847" t="s">
        <v>16</v>
      </c>
      <c r="C271" s="0" t="s">
        <v>2761</v>
      </c>
      <c r="D271" s="0" t="s">
        <v>2762</v>
      </c>
      <c r="E271" s="0" t="s">
        <v>2763</v>
      </c>
      <c r="F271" s="0" t="s">
        <v>2323</v>
      </c>
      <c r="G271" s="0" t="s">
        <v>22</v>
      </c>
      <c r="H271" s="0" t="s">
        <v>22</v>
      </c>
      <c r="I271" s="0" t="s">
        <v>1700</v>
      </c>
    </row>
    <row customHeight="1" ht="11.25">
      <c r="A272" s="1847" t="s">
        <v>2319</v>
      </c>
      <c r="B272" s="1847" t="s">
        <v>16</v>
      </c>
      <c r="C272" s="0" t="s">
        <v>2764</v>
      </c>
      <c r="D272" s="0" t="s">
        <v>2765</v>
      </c>
      <c r="E272" s="0" t="s">
        <v>2766</v>
      </c>
      <c r="F272" s="0" t="s">
        <v>2331</v>
      </c>
      <c r="G272" s="0" t="s">
        <v>22</v>
      </c>
      <c r="H272" s="0" t="s">
        <v>22</v>
      </c>
      <c r="I272" s="0" t="s">
        <v>1700</v>
      </c>
    </row>
    <row customHeight="1" ht="11.25">
      <c r="A273" s="1847" t="s">
        <v>2319</v>
      </c>
      <c r="B273" s="1847" t="s">
        <v>16</v>
      </c>
      <c r="C273" s="0" t="s">
        <v>2767</v>
      </c>
      <c r="D273" s="0" t="s">
        <v>2768</v>
      </c>
      <c r="E273" s="0" t="s">
        <v>2769</v>
      </c>
      <c r="F273" s="0" t="s">
        <v>2331</v>
      </c>
      <c r="G273" s="0" t="s">
        <v>22</v>
      </c>
      <c r="H273" s="0" t="s">
        <v>22</v>
      </c>
      <c r="I273" s="0" t="s">
        <v>1700</v>
      </c>
    </row>
    <row customHeight="1" ht="11.25">
      <c r="A274" s="1847" t="s">
        <v>2319</v>
      </c>
      <c r="B274" s="1847" t="s">
        <v>16</v>
      </c>
      <c r="C274" s="0" t="s">
        <v>2770</v>
      </c>
      <c r="D274" s="0" t="s">
        <v>2771</v>
      </c>
      <c r="E274" s="0" t="s">
        <v>2772</v>
      </c>
      <c r="F274" s="0" t="s">
        <v>2323</v>
      </c>
      <c r="G274" s="0" t="s">
        <v>22</v>
      </c>
      <c r="H274" s="0" t="s">
        <v>22</v>
      </c>
      <c r="I274" s="0" t="s">
        <v>1700</v>
      </c>
    </row>
    <row customHeight="1" ht="11.25">
      <c r="A275" s="1847" t="s">
        <v>2319</v>
      </c>
      <c r="B275" s="1847" t="s">
        <v>16</v>
      </c>
      <c r="C275" s="0" t="s">
        <v>2773</v>
      </c>
      <c r="D275" s="0" t="s">
        <v>2774</v>
      </c>
      <c r="E275" s="0" t="s">
        <v>2775</v>
      </c>
      <c r="F275" s="0" t="s">
        <v>2323</v>
      </c>
      <c r="G275" s="0" t="s">
        <v>22</v>
      </c>
      <c r="H275" s="0" t="s">
        <v>22</v>
      </c>
      <c r="I275" s="0" t="s">
        <v>1700</v>
      </c>
    </row>
    <row customHeight="1" ht="11.25">
      <c r="A276" s="1847" t="s">
        <v>2319</v>
      </c>
      <c r="B276" s="1847" t="s">
        <v>16</v>
      </c>
      <c r="C276" s="0" t="s">
        <v>2776</v>
      </c>
      <c r="D276" s="0" t="s">
        <v>2777</v>
      </c>
      <c r="E276" s="0" t="s">
        <v>2778</v>
      </c>
      <c r="F276" s="0" t="s">
        <v>2323</v>
      </c>
      <c r="G276" s="0" t="s">
        <v>22</v>
      </c>
      <c r="H276" s="0" t="s">
        <v>22</v>
      </c>
      <c r="I276" s="0" t="s">
        <v>1700</v>
      </c>
    </row>
    <row customHeight="1" ht="11.25">
      <c r="A277" s="1847" t="s">
        <v>2319</v>
      </c>
      <c r="B277" s="1847" t="s">
        <v>16</v>
      </c>
      <c r="C277" s="0" t="s">
        <v>2779</v>
      </c>
      <c r="D277" s="0" t="s">
        <v>2780</v>
      </c>
      <c r="E277" s="0" t="s">
        <v>2781</v>
      </c>
      <c r="F277" s="0" t="s">
        <v>2420</v>
      </c>
      <c r="G277" s="0" t="s">
        <v>22</v>
      </c>
      <c r="H277" s="0" t="s">
        <v>22</v>
      </c>
      <c r="I277" s="0" t="s">
        <v>1700</v>
      </c>
    </row>
    <row customHeight="1" ht="11.25">
      <c r="A278" s="1847" t="s">
        <v>2319</v>
      </c>
      <c r="B278" s="1847" t="s">
        <v>16</v>
      </c>
      <c r="C278" s="0" t="s">
        <v>2579</v>
      </c>
      <c r="D278" s="0" t="s">
        <v>2580</v>
      </c>
      <c r="E278" s="0" t="s">
        <v>2581</v>
      </c>
      <c r="F278" s="0" t="s">
        <v>2382</v>
      </c>
      <c r="G278" s="0" t="s">
        <v>2582</v>
      </c>
      <c r="H278" s="0" t="s">
        <v>22</v>
      </c>
      <c r="I278" s="0" t="s">
        <v>1700</v>
      </c>
    </row>
    <row customHeight="1" ht="11.25">
      <c r="A279" s="1847" t="s">
        <v>2319</v>
      </c>
      <c r="B279" s="1847" t="s">
        <v>16</v>
      </c>
      <c r="C279" s="0" t="s">
        <v>22</v>
      </c>
      <c r="D279" s="0" t="s">
        <v>2592</v>
      </c>
      <c r="E279" s="0" t="s">
        <v>2593</v>
      </c>
      <c r="F279" s="0" t="s">
        <v>2323</v>
      </c>
      <c r="G279" s="0" t="s">
        <v>22</v>
      </c>
      <c r="H279" s="0" t="s">
        <v>22</v>
      </c>
      <c r="I279" s="0" t="s">
        <v>1700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31EDF-5C08-7D85-BC08-3785AF24D998}" mc:Ignorable="x14ac xr xr2 xr3">
  <sheetPr>
    <tabColor rgb="FFFFCC99"/>
  </sheetPr>
  <dimension ref="A1:G36"/>
  <sheetViews>
    <sheetView topLeftCell="A1" showGridLines="0" workbookViewId="0">
      <selection activeCell="A1" sqref="A1"/>
    </sheetView>
  </sheetViews>
  <sheetFormatPr customHeight="1" defaultRowHeight="11.25"/>
  <cols>
    <col min="1" max="1" style="1847" width="9.140625"/>
  </cols>
  <sheetData>
    <row customHeight="1" ht="11.25">
      <c r="A1" s="373" t="s">
        <v>2782</v>
      </c>
      <c r="B1" s="64" t="s">
        <v>2783</v>
      </c>
      <c r="C1" s="0" t="s">
        <v>2784</v>
      </c>
      <c r="D1" s="0" t="s">
        <v>2785</v>
      </c>
      <c r="E1" s="0" t="s">
        <v>2786</v>
      </c>
      <c r="F1" s="0" t="s">
        <v>2787</v>
      </c>
      <c r="G1" s="0" t="s">
        <v>2788</v>
      </c>
    </row>
    <row customHeight="1" ht="11.25">
      <c r="A2" s="373" t="s">
        <v>16</v>
      </c>
      <c r="B2" s="0" t="s">
        <v>2789</v>
      </c>
      <c r="C2" s="0" t="s">
        <v>2790</v>
      </c>
      <c r="D2" s="0" t="s">
        <v>2789</v>
      </c>
      <c r="E2" s="0" t="s">
        <v>2790</v>
      </c>
      <c r="F2" s="0" t="s">
        <v>2791</v>
      </c>
      <c r="G2" s="0" t="s">
        <v>110</v>
      </c>
    </row>
    <row customHeight="1" ht="11.25">
      <c r="A3" s="1847" t="s">
        <v>16</v>
      </c>
      <c r="B3" s="0" t="s">
        <v>2792</v>
      </c>
      <c r="C3" s="0" t="s">
        <v>2793</v>
      </c>
      <c r="D3" s="0" t="s">
        <v>2792</v>
      </c>
      <c r="E3" s="0" t="s">
        <v>2793</v>
      </c>
      <c r="F3" s="0" t="s">
        <v>2791</v>
      </c>
      <c r="G3" s="0" t="s">
        <v>111</v>
      </c>
    </row>
    <row customHeight="1" ht="11.25">
      <c r="A4" s="1847" t="s">
        <v>16</v>
      </c>
      <c r="B4" s="0" t="s">
        <v>2794</v>
      </c>
      <c r="C4" s="0" t="s">
        <v>2795</v>
      </c>
      <c r="D4" s="0" t="s">
        <v>2794</v>
      </c>
      <c r="E4" s="0" t="s">
        <v>2795</v>
      </c>
      <c r="F4" s="0" t="s">
        <v>2791</v>
      </c>
      <c r="G4" s="0" t="s">
        <v>91</v>
      </c>
    </row>
    <row customHeight="1" ht="11.25">
      <c r="A5" s="1847" t="s">
        <v>16</v>
      </c>
      <c r="B5" s="0" t="s">
        <v>2796</v>
      </c>
      <c r="C5" s="0" t="s">
        <v>2797</v>
      </c>
      <c r="D5" s="0" t="s">
        <v>2796</v>
      </c>
      <c r="E5" s="0" t="s">
        <v>2797</v>
      </c>
      <c r="F5" s="0" t="s">
        <v>2791</v>
      </c>
      <c r="G5" s="0" t="s">
        <v>92</v>
      </c>
    </row>
    <row customHeight="1" ht="11.25">
      <c r="A6" s="1847" t="s">
        <v>16</v>
      </c>
      <c r="B6" s="0" t="s">
        <v>101</v>
      </c>
      <c r="C6" s="0" t="s">
        <v>102</v>
      </c>
      <c r="D6" s="0" t="s">
        <v>101</v>
      </c>
      <c r="E6" s="0" t="s">
        <v>102</v>
      </c>
      <c r="F6" s="0" t="s">
        <v>2791</v>
      </c>
      <c r="G6" s="0" t="s">
        <v>100</v>
      </c>
    </row>
    <row customHeight="1" ht="11.25">
      <c r="A7" s="1847" t="s">
        <v>16</v>
      </c>
      <c r="B7" s="0" t="s">
        <v>2798</v>
      </c>
      <c r="C7" s="0" t="s">
        <v>2799</v>
      </c>
      <c r="D7" s="0" t="s">
        <v>2798</v>
      </c>
      <c r="E7" s="0" t="s">
        <v>2799</v>
      </c>
      <c r="F7" s="0" t="s">
        <v>2791</v>
      </c>
      <c r="G7" s="0" t="s">
        <v>93</v>
      </c>
    </row>
    <row customHeight="1" ht="11.25">
      <c r="A8" s="1847" t="s">
        <v>16</v>
      </c>
      <c r="B8" s="0" t="s">
        <v>2800</v>
      </c>
      <c r="C8" s="0" t="s">
        <v>2801</v>
      </c>
      <c r="D8" s="0" t="s">
        <v>2800</v>
      </c>
      <c r="E8" s="0" t="s">
        <v>2801</v>
      </c>
      <c r="F8" s="0" t="s">
        <v>2791</v>
      </c>
      <c r="G8" s="0" t="s">
        <v>94</v>
      </c>
    </row>
    <row customHeight="1" ht="11.25">
      <c r="A9" s="1847" t="s">
        <v>16</v>
      </c>
      <c r="B9" s="0" t="s">
        <v>2802</v>
      </c>
      <c r="C9" s="0" t="s">
        <v>2803</v>
      </c>
      <c r="D9" s="0" t="s">
        <v>2802</v>
      </c>
      <c r="E9" s="0" t="s">
        <v>2803</v>
      </c>
      <c r="F9" s="0" t="s">
        <v>2791</v>
      </c>
      <c r="G9" s="0" t="s">
        <v>112</v>
      </c>
    </row>
    <row customHeight="1" ht="11.25">
      <c r="A10" s="1847" t="s">
        <v>16</v>
      </c>
      <c r="B10" s="0" t="s">
        <v>2804</v>
      </c>
      <c r="C10" s="0" t="s">
        <v>2805</v>
      </c>
      <c r="D10" s="0" t="s">
        <v>2804</v>
      </c>
      <c r="E10" s="0" t="s">
        <v>2805</v>
      </c>
      <c r="F10" s="0" t="s">
        <v>2791</v>
      </c>
      <c r="G10" s="0" t="s">
        <v>155</v>
      </c>
    </row>
    <row customHeight="1" ht="11.25">
      <c r="A11" s="1847" t="s">
        <v>16</v>
      </c>
      <c r="B11" s="0" t="s">
        <v>2806</v>
      </c>
      <c r="C11" s="0" t="s">
        <v>2807</v>
      </c>
      <c r="D11" s="0" t="s">
        <v>2806</v>
      </c>
      <c r="E11" s="0" t="s">
        <v>2807</v>
      </c>
      <c r="F11" s="0" t="s">
        <v>2791</v>
      </c>
      <c r="G11" s="0" t="s">
        <v>156</v>
      </c>
    </row>
    <row customHeight="1" ht="11.25">
      <c r="A12" s="1847" t="s">
        <v>16</v>
      </c>
      <c r="B12" s="0" t="s">
        <v>2808</v>
      </c>
      <c r="C12" s="0" t="s">
        <v>2809</v>
      </c>
      <c r="D12" s="0" t="s">
        <v>2808</v>
      </c>
      <c r="E12" s="0" t="s">
        <v>2809</v>
      </c>
      <c r="F12" s="0" t="s">
        <v>2791</v>
      </c>
      <c r="G12" s="0" t="s">
        <v>157</v>
      </c>
    </row>
    <row customHeight="1" ht="11.25">
      <c r="A13" s="1847" t="s">
        <v>16</v>
      </c>
      <c r="B13" s="0" t="s">
        <v>2810</v>
      </c>
      <c r="C13" s="0" t="s">
        <v>2811</v>
      </c>
      <c r="D13" s="0" t="s">
        <v>2810</v>
      </c>
      <c r="E13" s="0" t="s">
        <v>2811</v>
      </c>
      <c r="F13" s="0" t="s">
        <v>2791</v>
      </c>
      <c r="G13" s="0" t="s">
        <v>158</v>
      </c>
    </row>
    <row customHeight="1" ht="11.25">
      <c r="A14" s="1847" t="s">
        <v>16</v>
      </c>
      <c r="B14" s="0" t="s">
        <v>2812</v>
      </c>
      <c r="C14" s="0" t="s">
        <v>2813</v>
      </c>
      <c r="D14" s="0" t="s">
        <v>2812</v>
      </c>
      <c r="E14" s="0" t="s">
        <v>2813</v>
      </c>
      <c r="F14" s="0" t="s">
        <v>2791</v>
      </c>
      <c r="G14" s="0" t="s">
        <v>159</v>
      </c>
    </row>
    <row customHeight="1" ht="11.25">
      <c r="A15" s="1847" t="s">
        <v>16</v>
      </c>
      <c r="B15" s="0" t="s">
        <v>2814</v>
      </c>
      <c r="C15" s="0" t="s">
        <v>2815</v>
      </c>
      <c r="D15" s="0" t="s">
        <v>2814</v>
      </c>
      <c r="E15" s="0" t="s">
        <v>2815</v>
      </c>
      <c r="F15" s="0" t="s">
        <v>2791</v>
      </c>
      <c r="G15" s="0" t="s">
        <v>160</v>
      </c>
    </row>
    <row customHeight="1" ht="11.25">
      <c r="A16" s="1847" t="s">
        <v>16</v>
      </c>
      <c r="B16" s="0" t="s">
        <v>2816</v>
      </c>
      <c r="C16" s="0" t="s">
        <v>2817</v>
      </c>
      <c r="D16" s="0" t="s">
        <v>2816</v>
      </c>
      <c r="E16" s="0" t="s">
        <v>2817</v>
      </c>
      <c r="F16" s="0" t="s">
        <v>2791</v>
      </c>
      <c r="G16" s="0" t="s">
        <v>1545</v>
      </c>
    </row>
    <row customHeight="1" ht="11.25">
      <c r="A17" s="1847" t="s">
        <v>16</v>
      </c>
      <c r="B17" s="0" t="s">
        <v>2818</v>
      </c>
      <c r="C17" s="0" t="s">
        <v>2819</v>
      </c>
      <c r="D17" s="0" t="s">
        <v>2818</v>
      </c>
      <c r="E17" s="0" t="s">
        <v>2819</v>
      </c>
      <c r="F17" s="0" t="s">
        <v>2791</v>
      </c>
      <c r="G17" s="0" t="s">
        <v>1551</v>
      </c>
    </row>
    <row customHeight="1" ht="11.25">
      <c r="A18" s="1847" t="s">
        <v>16</v>
      </c>
      <c r="B18" s="0" t="s">
        <v>2820</v>
      </c>
      <c r="C18" s="0" t="s">
        <v>2821</v>
      </c>
      <c r="D18" s="0" t="s">
        <v>2820</v>
      </c>
      <c r="E18" s="0" t="s">
        <v>2821</v>
      </c>
      <c r="F18" s="0" t="s">
        <v>2791</v>
      </c>
      <c r="G18" s="0" t="s">
        <v>1563</v>
      </c>
    </row>
    <row customHeight="1" ht="11.25">
      <c r="A19" s="1847" t="s">
        <v>16</v>
      </c>
      <c r="B19" s="0" t="s">
        <v>2822</v>
      </c>
      <c r="C19" s="0" t="s">
        <v>2823</v>
      </c>
      <c r="D19" s="0" t="s">
        <v>2822</v>
      </c>
      <c r="E19" s="0" t="s">
        <v>2823</v>
      </c>
      <c r="F19" s="0" t="s">
        <v>2791</v>
      </c>
      <c r="G19" s="0" t="s">
        <v>1577</v>
      </c>
    </row>
    <row customHeight="1" ht="11.25">
      <c r="A20" s="1847" t="s">
        <v>16</v>
      </c>
      <c r="B20" s="0" t="s">
        <v>2824</v>
      </c>
      <c r="C20" s="0" t="s">
        <v>2825</v>
      </c>
      <c r="D20" s="0" t="s">
        <v>2824</v>
      </c>
      <c r="E20" s="0" t="s">
        <v>2825</v>
      </c>
      <c r="F20" s="0" t="s">
        <v>2826</v>
      </c>
      <c r="G20" s="0" t="s">
        <v>1589</v>
      </c>
    </row>
    <row customHeight="1" ht="11.25">
      <c r="A21" s="1847" t="s">
        <v>16</v>
      </c>
      <c r="B21" s="0" t="s">
        <v>2827</v>
      </c>
      <c r="C21" s="0" t="s">
        <v>2828</v>
      </c>
      <c r="D21" s="0" t="s">
        <v>2827</v>
      </c>
      <c r="E21" s="0" t="s">
        <v>2828</v>
      </c>
      <c r="F21" s="0" t="s">
        <v>2826</v>
      </c>
      <c r="G21" s="0" t="s">
        <v>1598</v>
      </c>
    </row>
    <row customHeight="1" ht="11.25">
      <c r="A22" s="1847" t="s">
        <v>16</v>
      </c>
      <c r="B22" s="0" t="s">
        <v>2829</v>
      </c>
      <c r="C22" s="0" t="s">
        <v>2830</v>
      </c>
      <c r="D22" s="0" t="s">
        <v>2829</v>
      </c>
      <c r="E22" s="0" t="s">
        <v>2830</v>
      </c>
      <c r="F22" s="0" t="s">
        <v>2826</v>
      </c>
      <c r="G22" s="0" t="s">
        <v>1614</v>
      </c>
    </row>
    <row customHeight="1" ht="11.25">
      <c r="A23" s="1847" t="s">
        <v>16</v>
      </c>
      <c r="B23" s="0" t="s">
        <v>2831</v>
      </c>
      <c r="C23" s="0" t="s">
        <v>2832</v>
      </c>
      <c r="D23" s="0" t="s">
        <v>2831</v>
      </c>
      <c r="E23" s="0" t="s">
        <v>2832</v>
      </c>
      <c r="F23" s="0" t="s">
        <v>2826</v>
      </c>
      <c r="G23" s="0" t="s">
        <v>1621</v>
      </c>
    </row>
    <row customHeight="1" ht="11.25">
      <c r="A24" s="1847" t="s">
        <v>16</v>
      </c>
      <c r="B24" s="0" t="s">
        <v>2833</v>
      </c>
      <c r="C24" s="0" t="s">
        <v>2834</v>
      </c>
      <c r="D24" s="0" t="s">
        <v>2833</v>
      </c>
      <c r="E24" s="0" t="s">
        <v>2834</v>
      </c>
      <c r="F24" s="0" t="s">
        <v>2826</v>
      </c>
      <c r="G24" s="0" t="s">
        <v>1629</v>
      </c>
    </row>
    <row customHeight="1" ht="11.25">
      <c r="A25" s="1847" t="s">
        <v>16</v>
      </c>
      <c r="B25" s="0" t="s">
        <v>2835</v>
      </c>
      <c r="C25" s="0" t="s">
        <v>2836</v>
      </c>
      <c r="D25" s="0" t="s">
        <v>2835</v>
      </c>
      <c r="E25" s="0" t="s">
        <v>2836</v>
      </c>
      <c r="F25" s="0" t="s">
        <v>2826</v>
      </c>
      <c r="G25" s="0" t="s">
        <v>1635</v>
      </c>
    </row>
    <row customHeight="1" ht="11.25">
      <c r="A26" s="1847" t="s">
        <v>16</v>
      </c>
      <c r="B26" s="0" t="s">
        <v>2837</v>
      </c>
      <c r="C26" s="0" t="s">
        <v>2838</v>
      </c>
      <c r="D26" s="0" t="s">
        <v>2837</v>
      </c>
      <c r="E26" s="0" t="s">
        <v>2838</v>
      </c>
      <c r="F26" s="0" t="s">
        <v>2826</v>
      </c>
      <c r="G26" s="0" t="s">
        <v>1639</v>
      </c>
    </row>
    <row customHeight="1" ht="11.25">
      <c r="A27" s="1847" t="s">
        <v>16</v>
      </c>
      <c r="B27" s="0" t="s">
        <v>2839</v>
      </c>
      <c r="C27" s="0" t="s">
        <v>2840</v>
      </c>
      <c r="D27" s="0" t="s">
        <v>2839</v>
      </c>
      <c r="E27" s="0" t="s">
        <v>2840</v>
      </c>
      <c r="F27" s="0" t="s">
        <v>2826</v>
      </c>
      <c r="G27" s="0" t="s">
        <v>1644</v>
      </c>
    </row>
    <row customHeight="1" ht="11.25">
      <c r="A28" s="1847" t="s">
        <v>16</v>
      </c>
      <c r="B28" s="0" t="s">
        <v>2841</v>
      </c>
      <c r="C28" s="0" t="s">
        <v>2842</v>
      </c>
      <c r="D28" s="0" t="s">
        <v>2841</v>
      </c>
      <c r="E28" s="0" t="s">
        <v>2842</v>
      </c>
      <c r="F28" s="0" t="s">
        <v>2826</v>
      </c>
      <c r="G28" s="0" t="s">
        <v>1652</v>
      </c>
    </row>
    <row customHeight="1" ht="11.25">
      <c r="A29" s="1847" t="s">
        <v>16</v>
      </c>
      <c r="B29" s="0" t="s">
        <v>2843</v>
      </c>
      <c r="C29" s="0" t="s">
        <v>2844</v>
      </c>
      <c r="D29" s="0" t="s">
        <v>2843</v>
      </c>
      <c r="E29" s="0" t="s">
        <v>2844</v>
      </c>
      <c r="F29" s="0" t="s">
        <v>2826</v>
      </c>
      <c r="G29" s="0" t="s">
        <v>1654</v>
      </c>
    </row>
    <row customHeight="1" ht="11.25">
      <c r="A30" s="1847" t="s">
        <v>16</v>
      </c>
      <c r="B30" s="0" t="s">
        <v>2845</v>
      </c>
      <c r="C30" s="0" t="s">
        <v>2846</v>
      </c>
      <c r="D30" s="0" t="s">
        <v>2845</v>
      </c>
      <c r="E30" s="0" t="s">
        <v>2846</v>
      </c>
      <c r="F30" s="0" t="s">
        <v>2826</v>
      </c>
      <c r="G30" s="0" t="s">
        <v>1657</v>
      </c>
    </row>
    <row customHeight="1" ht="11.25">
      <c r="A31" s="1847" t="s">
        <v>16</v>
      </c>
      <c r="B31" s="0" t="s">
        <v>2847</v>
      </c>
      <c r="C31" s="0" t="s">
        <v>2848</v>
      </c>
      <c r="D31" s="0" t="s">
        <v>2847</v>
      </c>
      <c r="E31" s="0" t="s">
        <v>2848</v>
      </c>
      <c r="F31" s="0" t="s">
        <v>2826</v>
      </c>
      <c r="G31" s="0" t="s">
        <v>1663</v>
      </c>
    </row>
    <row customHeight="1" ht="11.25">
      <c r="A32" s="1847" t="s">
        <v>16</v>
      </c>
      <c r="B32" s="0" t="s">
        <v>2849</v>
      </c>
      <c r="C32" s="0" t="s">
        <v>2850</v>
      </c>
      <c r="D32" s="0" t="s">
        <v>2849</v>
      </c>
      <c r="E32" s="0" t="s">
        <v>2850</v>
      </c>
      <c r="F32" s="0" t="s">
        <v>2826</v>
      </c>
      <c r="G32" s="0" t="s">
        <v>1665</v>
      </c>
    </row>
    <row customHeight="1" ht="11.25">
      <c r="A33" s="1847" t="s">
        <v>16</v>
      </c>
      <c r="B33" s="0" t="s">
        <v>2851</v>
      </c>
      <c r="C33" s="0" t="s">
        <v>2852</v>
      </c>
      <c r="D33" s="0" t="s">
        <v>2851</v>
      </c>
      <c r="E33" s="0" t="s">
        <v>2852</v>
      </c>
      <c r="F33" s="0" t="s">
        <v>2826</v>
      </c>
      <c r="G33" s="0" t="s">
        <v>1667</v>
      </c>
    </row>
    <row customHeight="1" ht="11.25">
      <c r="A34" s="1847" t="s">
        <v>16</v>
      </c>
      <c r="B34" s="0" t="s">
        <v>2853</v>
      </c>
      <c r="C34" s="0" t="s">
        <v>2854</v>
      </c>
      <c r="D34" s="0" t="s">
        <v>2853</v>
      </c>
      <c r="E34" s="0" t="s">
        <v>2854</v>
      </c>
      <c r="F34" s="0" t="s">
        <v>2826</v>
      </c>
      <c r="G34" s="0" t="s">
        <v>1669</v>
      </c>
    </row>
    <row customHeight="1" ht="11.25">
      <c r="A35" s="1847" t="s">
        <v>16</v>
      </c>
      <c r="B35" s="0" t="s">
        <v>2855</v>
      </c>
      <c r="C35" s="0" t="s">
        <v>2856</v>
      </c>
      <c r="D35" s="0" t="s">
        <v>2855</v>
      </c>
      <c r="E35" s="0" t="s">
        <v>2856</v>
      </c>
      <c r="F35" s="0" t="s">
        <v>2826</v>
      </c>
      <c r="G35" s="0" t="s">
        <v>1674</v>
      </c>
    </row>
    <row customHeight="1" ht="11.25">
      <c r="A36" s="1847" t="s">
        <v>16</v>
      </c>
      <c r="B36" s="0" t="s">
        <v>2857</v>
      </c>
      <c r="C36" s="0" t="s">
        <v>2858</v>
      </c>
      <c r="D36" s="0" t="s">
        <v>2857</v>
      </c>
      <c r="E36" s="0" t="s">
        <v>2858</v>
      </c>
      <c r="F36" s="0" t="s">
        <v>2826</v>
      </c>
      <c r="G36" s="0" t="s">
        <v>1679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44108-1408-BE62-2CD8-21E1BC9CF888}"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0" width="13.8515625" customWidth="1"/>
  </cols>
  <sheetData>
    <row customHeight="1" ht="11.25">
      <c r="A1" s="835" t="s">
        <v>2859</v>
      </c>
      <c r="B1" s="0" t="s">
        <v>2860</v>
      </c>
      <c r="C1" s="0" t="s">
        <v>2861</v>
      </c>
      <c r="D1" s="0" t="s">
        <v>2862</v>
      </c>
      <c r="E1" s="0" t="s">
        <v>2863</v>
      </c>
      <c r="F1" s="0" t="s">
        <v>2864</v>
      </c>
      <c r="G1" s="0" t="s">
        <v>2865</v>
      </c>
      <c r="H1" s="0" t="s">
        <v>2866</v>
      </c>
      <c r="I1" s="0" t="s">
        <v>2867</v>
      </c>
    </row>
    <row customHeight="1" ht="11.25">
      <c r="A2" s="1690" t="s">
        <v>110</v>
      </c>
      <c r="B2" s="0" t="s">
        <v>2868</v>
      </c>
      <c r="C2" s="0" t="s">
        <v>22</v>
      </c>
      <c r="D2" s="0" t="s">
        <v>2869</v>
      </c>
      <c r="E2" s="0" t="s">
        <v>2870</v>
      </c>
      <c r="F2" s="0" t="s">
        <v>22</v>
      </c>
      <c r="G2" s="0" t="s">
        <v>22</v>
      </c>
      <c r="H2" s="0" t="s">
        <v>22</v>
      </c>
      <c r="I2" s="0" t="s">
        <v>22</v>
      </c>
    </row>
    <row customHeight="1" ht="11.25">
      <c r="A3" s="1690" t="s">
        <v>111</v>
      </c>
      <c r="B3" s="0" t="s">
        <v>2871</v>
      </c>
      <c r="C3" s="0" t="s">
        <v>22</v>
      </c>
      <c r="D3" s="0" t="s">
        <v>2872</v>
      </c>
      <c r="E3" s="0" t="s">
        <v>2870</v>
      </c>
      <c r="F3" s="0" t="s">
        <v>22</v>
      </c>
      <c r="G3" s="0" t="s">
        <v>22</v>
      </c>
      <c r="H3" s="0" t="s">
        <v>22</v>
      </c>
      <c r="I3" s="0" t="s">
        <v>22</v>
      </c>
    </row>
    <row customHeight="1" ht="11.25">
      <c r="A4" s="1690" t="s">
        <v>91</v>
      </c>
      <c r="B4" s="0" t="s">
        <v>2873</v>
      </c>
      <c r="C4" s="0" t="s">
        <v>22</v>
      </c>
      <c r="D4" s="0" t="s">
        <v>2869</v>
      </c>
      <c r="E4" s="0" t="s">
        <v>2870</v>
      </c>
      <c r="F4" s="0" t="s">
        <v>22</v>
      </c>
      <c r="G4" s="0" t="s">
        <v>22</v>
      </c>
      <c r="H4" s="0" t="s">
        <v>22</v>
      </c>
      <c r="I4" s="0" t="s">
        <v>22</v>
      </c>
    </row>
    <row customHeight="1" ht="11.25">
      <c r="A5" s="1690" t="s">
        <v>92</v>
      </c>
      <c r="B5" s="0" t="s">
        <v>2874</v>
      </c>
      <c r="C5" s="0" t="s">
        <v>22</v>
      </c>
      <c r="D5" s="0" t="s">
        <v>2872</v>
      </c>
      <c r="E5" s="0" t="s">
        <v>2870</v>
      </c>
      <c r="F5" s="0" t="s">
        <v>22</v>
      </c>
      <c r="G5" s="0" t="s">
        <v>22</v>
      </c>
      <c r="H5" s="0" t="s">
        <v>22</v>
      </c>
      <c r="I5" s="0" t="s">
        <v>22</v>
      </c>
    </row>
    <row customHeight="1" ht="11.25">
      <c r="A6" s="1690" t="s">
        <v>100</v>
      </c>
      <c r="B6" s="0" t="s">
        <v>2875</v>
      </c>
      <c r="C6" s="0" t="s">
        <v>22</v>
      </c>
      <c r="D6" s="0" t="s">
        <v>2869</v>
      </c>
      <c r="E6" s="0" t="s">
        <v>2876</v>
      </c>
      <c r="F6" s="0" t="s">
        <v>22</v>
      </c>
      <c r="G6" s="0" t="s">
        <v>22</v>
      </c>
      <c r="H6" s="0" t="s">
        <v>22</v>
      </c>
      <c r="I6" s="0" t="s">
        <v>22</v>
      </c>
    </row>
    <row customHeight="1" ht="11.25">
      <c r="A7" s="1690" t="s">
        <v>93</v>
      </c>
      <c r="B7" s="0" t="s">
        <v>2877</v>
      </c>
      <c r="C7" s="0" t="s">
        <v>22</v>
      </c>
      <c r="D7" s="0" t="s">
        <v>2872</v>
      </c>
      <c r="E7" s="0" t="s">
        <v>2876</v>
      </c>
      <c r="F7" s="0" t="s">
        <v>22</v>
      </c>
      <c r="G7" s="0" t="s">
        <v>22</v>
      </c>
      <c r="H7" s="0" t="s">
        <v>22</v>
      </c>
      <c r="I7" s="0" t="s">
        <v>22</v>
      </c>
    </row>
    <row customHeight="1" ht="11.25">
      <c r="A8" s="1690" t="s">
        <v>94</v>
      </c>
      <c r="B8" s="0" t="s">
        <v>2878</v>
      </c>
      <c r="C8" s="0" t="s">
        <v>22</v>
      </c>
      <c r="D8" s="0" t="s">
        <v>2869</v>
      </c>
      <c r="E8" s="0" t="s">
        <v>2870</v>
      </c>
      <c r="F8" s="0" t="s">
        <v>22</v>
      </c>
      <c r="G8" s="0" t="s">
        <v>22</v>
      </c>
      <c r="H8" s="0" t="s">
        <v>22</v>
      </c>
      <c r="I8" s="0" t="s">
        <v>22</v>
      </c>
    </row>
    <row customHeight="1" ht="11.25">
      <c r="A9" s="1690" t="s">
        <v>112</v>
      </c>
      <c r="B9" s="0" t="s">
        <v>2879</v>
      </c>
      <c r="C9" s="0" t="s">
        <v>22</v>
      </c>
      <c r="D9" s="0" t="s">
        <v>2869</v>
      </c>
      <c r="E9" s="0" t="s">
        <v>2870</v>
      </c>
      <c r="F9" s="0" t="s">
        <v>22</v>
      </c>
      <c r="G9" s="0" t="s">
        <v>22</v>
      </c>
      <c r="H9" s="0" t="s">
        <v>22</v>
      </c>
      <c r="I9" s="0" t="s">
        <v>22</v>
      </c>
    </row>
    <row customHeight="1" ht="11.25">
      <c r="A10" s="1690" t="s">
        <v>155</v>
      </c>
      <c r="B10" s="0" t="s">
        <v>2880</v>
      </c>
      <c r="C10" s="0" t="s">
        <v>22</v>
      </c>
      <c r="D10" s="0" t="s">
        <v>2872</v>
      </c>
      <c r="E10" s="0" t="s">
        <v>2870</v>
      </c>
      <c r="F10" s="0" t="s">
        <v>22</v>
      </c>
      <c r="G10" s="0" t="s">
        <v>22</v>
      </c>
      <c r="H10" s="0" t="s">
        <v>22</v>
      </c>
      <c r="I10" s="0" t="s">
        <v>22</v>
      </c>
    </row>
    <row customHeight="1" ht="11.25">
      <c r="A11" s="1690" t="s">
        <v>156</v>
      </c>
      <c r="B11" s="0" t="s">
        <v>2881</v>
      </c>
      <c r="C11" s="0" t="s">
        <v>22</v>
      </c>
      <c r="D11" s="0" t="s">
        <v>2872</v>
      </c>
      <c r="E11" s="0" t="s">
        <v>2870</v>
      </c>
      <c r="F11" s="0" t="s">
        <v>22</v>
      </c>
      <c r="G11" s="0" t="s">
        <v>22</v>
      </c>
      <c r="H11" s="0" t="s">
        <v>22</v>
      </c>
      <c r="I11" s="0" t="s">
        <v>22</v>
      </c>
    </row>
    <row customHeight="1" ht="11.25">
      <c r="A12" s="1690" t="s">
        <v>157</v>
      </c>
      <c r="B12" s="0" t="s">
        <v>2882</v>
      </c>
      <c r="C12" s="0" t="s">
        <v>22</v>
      </c>
      <c r="D12" s="0" t="s">
        <v>2872</v>
      </c>
      <c r="E12" s="0" t="s">
        <v>2870</v>
      </c>
      <c r="F12" s="0" t="s">
        <v>22</v>
      </c>
      <c r="G12" s="0" t="s">
        <v>22</v>
      </c>
      <c r="H12" s="0" t="s">
        <v>22</v>
      </c>
      <c r="I12" s="0" t="s">
        <v>22</v>
      </c>
    </row>
    <row customHeight="1" ht="11.25">
      <c r="A13" s="1690" t="s">
        <v>158</v>
      </c>
      <c r="B13" s="0" t="s">
        <v>1029</v>
      </c>
      <c r="C13" s="0" t="s">
        <v>2883</v>
      </c>
      <c r="D13" s="0" t="s">
        <v>1033</v>
      </c>
      <c r="E13" s="0" t="s">
        <v>1034</v>
      </c>
      <c r="F13" s="0" t="s">
        <v>2884</v>
      </c>
      <c r="G13" s="0" t="s">
        <v>1036</v>
      </c>
      <c r="H13" s="0" t="s">
        <v>1041</v>
      </c>
      <c r="I13" s="0" t="s">
        <v>2885</v>
      </c>
    </row>
    <row customHeight="1" ht="11.25">
      <c r="A14" s="1690" t="s">
        <v>159</v>
      </c>
      <c r="B14" s="0" t="s">
        <v>1029</v>
      </c>
      <c r="C14" s="0" t="s">
        <v>2883</v>
      </c>
      <c r="D14" s="0" t="s">
        <v>1033</v>
      </c>
      <c r="E14" s="0" t="s">
        <v>1034</v>
      </c>
      <c r="F14" s="0" t="s">
        <v>1035</v>
      </c>
      <c r="G14" s="0" t="s">
        <v>1036</v>
      </c>
      <c r="H14" s="0" t="s">
        <v>1037</v>
      </c>
      <c r="I14" s="0" t="s">
        <v>1038</v>
      </c>
    </row>
    <row customHeight="1" ht="11.25">
      <c r="A15" s="1690" t="s">
        <v>160</v>
      </c>
      <c r="B15" s="0" t="s">
        <v>1029</v>
      </c>
      <c r="C15" s="0" t="s">
        <v>2883</v>
      </c>
      <c r="D15" s="0" t="s">
        <v>1033</v>
      </c>
      <c r="E15" s="0" t="s">
        <v>1034</v>
      </c>
      <c r="F15" s="0" t="s">
        <v>2886</v>
      </c>
      <c r="G15" s="0" t="s">
        <v>1036</v>
      </c>
      <c r="H15" s="0" t="s">
        <v>1037</v>
      </c>
      <c r="I15" s="0" t="s">
        <v>1038</v>
      </c>
    </row>
    <row customHeight="1" ht="11.25">
      <c r="A16" s="1690" t="s">
        <v>1545</v>
      </c>
      <c r="B16" s="0" t="s">
        <v>2887</v>
      </c>
      <c r="C16" s="0" t="s">
        <v>22</v>
      </c>
      <c r="D16" s="0" t="s">
        <v>2872</v>
      </c>
      <c r="E16" s="0" t="s">
        <v>2876</v>
      </c>
      <c r="F16" s="0" t="s">
        <v>22</v>
      </c>
      <c r="G16" s="0" t="s">
        <v>22</v>
      </c>
      <c r="H16" s="0" t="s">
        <v>22</v>
      </c>
      <c r="I16" s="0" t="s">
        <v>22</v>
      </c>
    </row>
    <row customHeight="1" ht="11.25">
      <c r="A17" s="1690" t="s">
        <v>1551</v>
      </c>
      <c r="B17" s="0" t="s">
        <v>2888</v>
      </c>
      <c r="C17" s="0" t="s">
        <v>22</v>
      </c>
      <c r="D17" s="0" t="s">
        <v>2872</v>
      </c>
      <c r="E17" s="0" t="s">
        <v>2870</v>
      </c>
      <c r="F17" s="0" t="s">
        <v>22</v>
      </c>
      <c r="G17" s="0" t="s">
        <v>22</v>
      </c>
      <c r="H17" s="0" t="s">
        <v>22</v>
      </c>
      <c r="I1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8F4C8-B5AB-08BB-5D96-9BC824844749}" mc:Ignorable="x14ac xr xr2 xr3">
  <sheetPr>
    <tabColor rgb="FFFFCC99"/>
  </sheetPr>
  <dimension ref="A1:AL13"/>
  <sheetViews>
    <sheetView topLeftCell="A1" workbookViewId="0">
      <selection activeCell="A1" sqref="A1"/>
    </sheetView>
  </sheetViews>
  <sheetFormatPr customHeight="1" defaultRowHeight="11.25"/>
  <sheetData>
    <row customHeight="1" ht="11.25">
      <c r="A1" s="0" t="s">
        <v>2313</v>
      </c>
      <c r="B1" s="0" t="s">
        <v>2314</v>
      </c>
      <c r="C1" s="0" t="s">
        <v>2315</v>
      </c>
      <c r="D1" s="0" t="s">
        <v>2889</v>
      </c>
      <c r="E1" s="0" t="s">
        <v>2890</v>
      </c>
      <c r="F1" s="0" t="s">
        <v>2891</v>
      </c>
      <c r="G1" s="0" t="s">
        <v>2892</v>
      </c>
      <c r="H1" s="0" t="s">
        <v>2893</v>
      </c>
      <c r="I1" s="0" t="s">
        <v>2894</v>
      </c>
      <c r="J1" s="0" t="s">
        <v>2895</v>
      </c>
      <c r="K1" s="0" t="s">
        <v>2896</v>
      </c>
      <c r="L1" s="0" t="s">
        <v>2897</v>
      </c>
      <c r="M1" s="0" t="s">
        <v>2898</v>
      </c>
      <c r="N1" s="0" t="s">
        <v>2899</v>
      </c>
      <c r="O1" s="0" t="s">
        <v>2783</v>
      </c>
      <c r="P1" s="0" t="s">
        <v>2785</v>
      </c>
      <c r="Q1" s="0" t="s">
        <v>2786</v>
      </c>
      <c r="R1" s="0" t="s">
        <v>2900</v>
      </c>
      <c r="S1" s="0" t="s">
        <v>2901</v>
      </c>
      <c r="T1" s="0" t="s">
        <v>2902</v>
      </c>
      <c r="U1" s="0" t="s">
        <v>2903</v>
      </c>
      <c r="V1" s="0" t="s">
        <v>2904</v>
      </c>
      <c r="W1" s="0" t="s">
        <v>2905</v>
      </c>
      <c r="X1" s="0" t="s">
        <v>2906</v>
      </c>
      <c r="Y1" s="0" t="s">
        <v>2907</v>
      </c>
      <c r="Z1" s="0" t="s">
        <v>2908</v>
      </c>
      <c r="AA1" s="0" t="s">
        <v>2909</v>
      </c>
      <c r="AB1" s="0" t="s">
        <v>2910</v>
      </c>
      <c r="AC1" s="0" t="s">
        <v>2911</v>
      </c>
      <c r="AD1" s="0" t="s">
        <v>2912</v>
      </c>
      <c r="AE1" s="0" t="s">
        <v>2913</v>
      </c>
      <c r="AF1" s="0" t="s">
        <v>2914</v>
      </c>
      <c r="AG1" s="0" t="s">
        <v>2915</v>
      </c>
      <c r="AH1" s="0" t="s">
        <v>2916</v>
      </c>
      <c r="AI1" s="0" t="s">
        <v>2917</v>
      </c>
      <c r="AJ1" s="0" t="s">
        <v>2918</v>
      </c>
      <c r="AK1" s="0" t="s">
        <v>2919</v>
      </c>
      <c r="AL1" s="0" t="s">
        <v>2920</v>
      </c>
    </row>
    <row customHeight="1" ht="11.25">
      <c r="A2" s="0" t="s">
        <v>22</v>
      </c>
      <c r="B2" s="0" t="s">
        <v>49</v>
      </c>
      <c r="C2" s="0" t="s">
        <v>51</v>
      </c>
      <c r="D2" s="0" t="s">
        <v>22</v>
      </c>
      <c r="E2" s="0" t="s">
        <v>2921</v>
      </c>
      <c r="F2" s="0" t="s">
        <v>1078</v>
      </c>
      <c r="G2" s="0" t="s">
        <v>101</v>
      </c>
      <c r="H2" s="0" t="s">
        <v>101</v>
      </c>
      <c r="I2" s="0" t="s">
        <v>102</v>
      </c>
      <c r="J2" s="0" t="s">
        <v>1079</v>
      </c>
      <c r="K2" s="0" t="s">
        <v>1080</v>
      </c>
      <c r="L2" s="0" t="s">
        <v>2922</v>
      </c>
      <c r="M2" s="0" t="s">
        <v>797</v>
      </c>
      <c r="N2" s="0" t="s">
        <v>110</v>
      </c>
      <c r="O2" s="0" t="s">
        <v>101</v>
      </c>
      <c r="P2" s="0" t="s">
        <v>101</v>
      </c>
      <c r="Q2" s="0" t="s">
        <v>102</v>
      </c>
      <c r="R2" s="0" t="s">
        <v>1079</v>
      </c>
      <c r="S2" s="0" t="s">
        <v>1080</v>
      </c>
      <c r="T2" s="0" t="s">
        <v>2923</v>
      </c>
      <c r="U2" s="0" t="s">
        <v>2924</v>
      </c>
      <c r="V2" s="0" t="s">
        <v>584</v>
      </c>
      <c r="W2" s="0" t="s">
        <v>2925</v>
      </c>
      <c r="X2" s="0" t="s">
        <v>2926</v>
      </c>
      <c r="Y2" s="0" t="s">
        <v>2924</v>
      </c>
      <c r="Z2" s="0" t="s">
        <v>2927</v>
      </c>
      <c r="AA2" s="0" t="s">
        <v>2928</v>
      </c>
      <c r="AB2" s="0" t="s">
        <v>584</v>
      </c>
      <c r="AC2" s="0" t="s">
        <v>66</v>
      </c>
      <c r="AD2" s="0" t="s">
        <v>66</v>
      </c>
      <c r="AE2" s="0" t="s">
        <v>66</v>
      </c>
      <c r="AF2" s="0" t="s">
        <v>2929</v>
      </c>
      <c r="AG2" s="0" t="s">
        <v>2930</v>
      </c>
      <c r="AH2" s="0" t="s">
        <v>2931</v>
      </c>
      <c r="AI2" s="0" t="s">
        <v>2932</v>
      </c>
      <c r="AJ2" s="0" t="s">
        <v>2931</v>
      </c>
      <c r="AK2" s="0" t="s">
        <v>2932</v>
      </c>
      <c r="AL2" s="0" t="s">
        <v>2933</v>
      </c>
    </row>
    <row customHeight="1" ht="11.25">
      <c r="A3" s="0" t="s">
        <v>22</v>
      </c>
      <c r="B3" s="0" t="s">
        <v>49</v>
      </c>
      <c r="C3" s="0" t="s">
        <v>51</v>
      </c>
      <c r="D3" s="0" t="s">
        <v>22</v>
      </c>
      <c r="E3" s="0" t="s">
        <v>603</v>
      </c>
      <c r="F3" s="0" t="s">
        <v>1078</v>
      </c>
      <c r="G3" s="0" t="s">
        <v>101</v>
      </c>
      <c r="H3" s="0" t="s">
        <v>101</v>
      </c>
      <c r="I3" s="0" t="s">
        <v>102</v>
      </c>
      <c r="J3" s="0" t="s">
        <v>1079</v>
      </c>
      <c r="K3" s="0" t="s">
        <v>1080</v>
      </c>
      <c r="L3" s="0" t="s">
        <v>2934</v>
      </c>
      <c r="M3" s="0" t="s">
        <v>1639</v>
      </c>
      <c r="N3" s="0" t="s">
        <v>110</v>
      </c>
      <c r="O3" s="0" t="s">
        <v>101</v>
      </c>
      <c r="P3" s="0" t="s">
        <v>101</v>
      </c>
      <c r="Q3" s="0" t="s">
        <v>102</v>
      </c>
      <c r="R3" s="0" t="s">
        <v>1079</v>
      </c>
      <c r="S3" s="0" t="s">
        <v>1080</v>
      </c>
      <c r="T3" s="0" t="s">
        <v>2923</v>
      </c>
      <c r="U3" s="0" t="s">
        <v>2924</v>
      </c>
      <c r="V3" s="0" t="s">
        <v>584</v>
      </c>
      <c r="W3" s="0" t="s">
        <v>2925</v>
      </c>
      <c r="X3" s="0" t="s">
        <v>2926</v>
      </c>
      <c r="Y3" s="0" t="s">
        <v>2924</v>
      </c>
      <c r="Z3" s="0" t="s">
        <v>2927</v>
      </c>
      <c r="AA3" s="0" t="s">
        <v>2928</v>
      </c>
      <c r="AB3" s="0" t="s">
        <v>584</v>
      </c>
      <c r="AC3" s="0" t="s">
        <v>66</v>
      </c>
      <c r="AD3" s="0" t="s">
        <v>66</v>
      </c>
      <c r="AE3" s="0" t="s">
        <v>66</v>
      </c>
      <c r="AF3" s="0" t="s">
        <v>1551</v>
      </c>
      <c r="AG3" s="0" t="s">
        <v>2935</v>
      </c>
      <c r="AH3" s="0" t="s">
        <v>1551</v>
      </c>
      <c r="AI3" s="0" t="s">
        <v>682</v>
      </c>
      <c r="AJ3" s="0" t="s">
        <v>1551</v>
      </c>
      <c r="AK3" s="0" t="s">
        <v>682</v>
      </c>
      <c r="AL3" s="0" t="s">
        <v>2933</v>
      </c>
    </row>
    <row customHeight="1" ht="11.25">
      <c r="A4" s="0" t="s">
        <v>22</v>
      </c>
      <c r="B4" s="0" t="s">
        <v>49</v>
      </c>
      <c r="C4" s="0" t="s">
        <v>51</v>
      </c>
      <c r="D4" s="0" t="s">
        <v>22</v>
      </c>
      <c r="E4" s="0" t="s">
        <v>1077</v>
      </c>
      <c r="F4" s="0" t="s">
        <v>1078</v>
      </c>
      <c r="G4" s="0" t="s">
        <v>101</v>
      </c>
      <c r="H4" s="0" t="s">
        <v>101</v>
      </c>
      <c r="I4" s="0" t="s">
        <v>102</v>
      </c>
      <c r="J4" s="0" t="s">
        <v>1079</v>
      </c>
      <c r="K4" s="0" t="s">
        <v>1080</v>
      </c>
      <c r="L4" s="0" t="s">
        <v>1081</v>
      </c>
      <c r="M4" s="0" t="s">
        <v>1082</v>
      </c>
      <c r="N4" s="0" t="s">
        <v>110</v>
      </c>
      <c r="O4" s="0" t="s">
        <v>101</v>
      </c>
      <c r="P4" s="0" t="s">
        <v>101</v>
      </c>
      <c r="Q4" s="0" t="s">
        <v>102</v>
      </c>
      <c r="R4" s="0" t="s">
        <v>1079</v>
      </c>
      <c r="S4" s="0" t="s">
        <v>1080</v>
      </c>
      <c r="T4" s="0" t="s">
        <v>2923</v>
      </c>
      <c r="U4" s="0" t="s">
        <v>2924</v>
      </c>
      <c r="V4" s="0" t="s">
        <v>584</v>
      </c>
      <c r="W4" s="0" t="s">
        <v>2925</v>
      </c>
      <c r="X4" s="0" t="s">
        <v>2926</v>
      </c>
      <c r="Y4" s="0" t="s">
        <v>2924</v>
      </c>
      <c r="Z4" s="0" t="s">
        <v>2927</v>
      </c>
      <c r="AA4" s="0" t="s">
        <v>2928</v>
      </c>
      <c r="AB4" s="0" t="s">
        <v>584</v>
      </c>
      <c r="AC4" s="0" t="s">
        <v>66</v>
      </c>
      <c r="AD4" s="0" t="s">
        <v>66</v>
      </c>
      <c r="AE4" s="0" t="s">
        <v>66</v>
      </c>
      <c r="AF4" s="0" t="s">
        <v>2936</v>
      </c>
      <c r="AG4" s="0" t="s">
        <v>2937</v>
      </c>
      <c r="AH4" s="0" t="s">
        <v>2936</v>
      </c>
      <c r="AI4" s="0" t="s">
        <v>2938</v>
      </c>
      <c r="AJ4" s="0" t="s">
        <v>2936</v>
      </c>
      <c r="AK4" s="0" t="s">
        <v>2938</v>
      </c>
      <c r="AL4" s="0" t="s">
        <v>2939</v>
      </c>
    </row>
    <row customHeight="1" ht="11.25">
      <c r="A5" s="0" t="s">
        <v>22</v>
      </c>
      <c r="B5" s="0" t="s">
        <v>49</v>
      </c>
      <c r="C5" s="0" t="s">
        <v>51</v>
      </c>
      <c r="D5" s="0" t="s">
        <v>22</v>
      </c>
      <c r="E5" s="0" t="s">
        <v>606</v>
      </c>
      <c r="F5" s="0" t="s">
        <v>1078</v>
      </c>
      <c r="G5" s="0" t="s">
        <v>101</v>
      </c>
      <c r="H5" s="0" t="s">
        <v>101</v>
      </c>
      <c r="I5" s="0" t="s">
        <v>102</v>
      </c>
      <c r="J5" s="0" t="s">
        <v>2940</v>
      </c>
      <c r="K5" s="0" t="s">
        <v>2941</v>
      </c>
      <c r="L5" s="0" t="s">
        <v>2942</v>
      </c>
      <c r="M5" s="0" t="s">
        <v>797</v>
      </c>
      <c r="N5" s="0" t="s">
        <v>110</v>
      </c>
      <c r="O5" s="0" t="s">
        <v>101</v>
      </c>
      <c r="P5" s="0" t="s">
        <v>101</v>
      </c>
      <c r="Q5" s="0" t="s">
        <v>102</v>
      </c>
      <c r="R5" s="0" t="s">
        <v>2940</v>
      </c>
      <c r="S5" s="0" t="s">
        <v>2941</v>
      </c>
      <c r="T5" s="0" t="s">
        <v>2923</v>
      </c>
      <c r="U5" s="0" t="s">
        <v>2924</v>
      </c>
      <c r="V5" s="0" t="s">
        <v>584</v>
      </c>
      <c r="W5" s="0" t="s">
        <v>2925</v>
      </c>
      <c r="X5" s="0" t="s">
        <v>2926</v>
      </c>
      <c r="Y5" s="0" t="s">
        <v>2924</v>
      </c>
      <c r="Z5" s="0" t="s">
        <v>2927</v>
      </c>
      <c r="AA5" s="0" t="s">
        <v>2928</v>
      </c>
      <c r="AB5" s="0" t="s">
        <v>584</v>
      </c>
      <c r="AC5" s="0" t="s">
        <v>66</v>
      </c>
      <c r="AD5" s="0" t="s">
        <v>66</v>
      </c>
      <c r="AE5" s="0" t="s">
        <v>66</v>
      </c>
      <c r="AF5" s="0" t="s">
        <v>2943</v>
      </c>
      <c r="AG5" s="0" t="s">
        <v>2944</v>
      </c>
      <c r="AH5" s="0" t="s">
        <v>2945</v>
      </c>
      <c r="AI5" s="0" t="s">
        <v>2944</v>
      </c>
      <c r="AJ5" s="0" t="s">
        <v>2945</v>
      </c>
      <c r="AK5" s="0" t="s">
        <v>2944</v>
      </c>
      <c r="AL5" s="0" t="s">
        <v>2933</v>
      </c>
    </row>
    <row customHeight="1" ht="11.25">
      <c r="A6" s="0" t="s">
        <v>22</v>
      </c>
      <c r="B6" s="0" t="s">
        <v>49</v>
      </c>
      <c r="C6" s="0" t="s">
        <v>51</v>
      </c>
      <c r="D6" s="0" t="s">
        <v>22</v>
      </c>
      <c r="E6" s="0" t="s">
        <v>607</v>
      </c>
      <c r="F6" s="0" t="s">
        <v>1078</v>
      </c>
      <c r="G6" s="0" t="s">
        <v>101</v>
      </c>
      <c r="H6" s="0" t="s">
        <v>101</v>
      </c>
      <c r="I6" s="0" t="s">
        <v>102</v>
      </c>
      <c r="J6" s="0" t="s">
        <v>2940</v>
      </c>
      <c r="K6" s="0" t="s">
        <v>2941</v>
      </c>
      <c r="L6" s="0" t="s">
        <v>2946</v>
      </c>
      <c r="M6" s="0" t="s">
        <v>1746</v>
      </c>
      <c r="N6" s="0" t="s">
        <v>110</v>
      </c>
      <c r="O6" s="0" t="s">
        <v>101</v>
      </c>
      <c r="P6" s="0" t="s">
        <v>101</v>
      </c>
      <c r="Q6" s="0" t="s">
        <v>102</v>
      </c>
      <c r="R6" s="0" t="s">
        <v>2940</v>
      </c>
      <c r="S6" s="0" t="s">
        <v>2941</v>
      </c>
      <c r="T6" s="0" t="s">
        <v>2923</v>
      </c>
      <c r="U6" s="0" t="s">
        <v>2924</v>
      </c>
      <c r="V6" s="0" t="s">
        <v>584</v>
      </c>
      <c r="W6" s="0" t="s">
        <v>2925</v>
      </c>
      <c r="X6" s="0" t="s">
        <v>2926</v>
      </c>
      <c r="Y6" s="0" t="s">
        <v>2924</v>
      </c>
      <c r="Z6" s="0" t="s">
        <v>2927</v>
      </c>
      <c r="AA6" s="0" t="s">
        <v>2928</v>
      </c>
      <c r="AB6" s="0" t="s">
        <v>584</v>
      </c>
      <c r="AC6" s="0" t="s">
        <v>66</v>
      </c>
      <c r="AD6" s="0" t="s">
        <v>66</v>
      </c>
      <c r="AE6" s="0" t="s">
        <v>66</v>
      </c>
      <c r="AF6" s="0" t="s">
        <v>2947</v>
      </c>
      <c r="AG6" s="0" t="s">
        <v>2948</v>
      </c>
      <c r="AH6" s="0" t="s">
        <v>2947</v>
      </c>
      <c r="AI6" s="0" t="s">
        <v>2948</v>
      </c>
      <c r="AJ6" s="0" t="s">
        <v>2947</v>
      </c>
      <c r="AK6" s="0" t="s">
        <v>2948</v>
      </c>
      <c r="AL6" s="0" t="s">
        <v>2933</v>
      </c>
    </row>
    <row customHeight="1" ht="11.25">
      <c r="A7" s="0" t="s">
        <v>22</v>
      </c>
      <c r="B7" s="0" t="s">
        <v>49</v>
      </c>
      <c r="C7" s="0" t="s">
        <v>51</v>
      </c>
      <c r="D7" s="0" t="s">
        <v>22</v>
      </c>
      <c r="E7" s="0" t="s">
        <v>607</v>
      </c>
      <c r="F7" s="0" t="s">
        <v>1078</v>
      </c>
      <c r="G7" s="0" t="s">
        <v>101</v>
      </c>
      <c r="H7" s="0" t="s">
        <v>101</v>
      </c>
      <c r="I7" s="0" t="s">
        <v>102</v>
      </c>
      <c r="J7" s="0" t="s">
        <v>2949</v>
      </c>
      <c r="K7" s="0" t="s">
        <v>2950</v>
      </c>
      <c r="L7" s="0" t="s">
        <v>2951</v>
      </c>
      <c r="M7" s="0" t="s">
        <v>157</v>
      </c>
      <c r="N7" s="0" t="s">
        <v>110</v>
      </c>
      <c r="O7" s="0" t="s">
        <v>101</v>
      </c>
      <c r="P7" s="0" t="s">
        <v>101</v>
      </c>
      <c r="Q7" s="0" t="s">
        <v>102</v>
      </c>
      <c r="R7" s="0" t="s">
        <v>2949</v>
      </c>
      <c r="S7" s="0" t="s">
        <v>2950</v>
      </c>
      <c r="T7" s="0" t="s">
        <v>2923</v>
      </c>
      <c r="U7" s="0" t="s">
        <v>2924</v>
      </c>
      <c r="V7" s="0" t="s">
        <v>584</v>
      </c>
      <c r="W7" s="0" t="s">
        <v>2925</v>
      </c>
      <c r="X7" s="0" t="s">
        <v>2926</v>
      </c>
      <c r="Y7" s="0" t="s">
        <v>2924</v>
      </c>
      <c r="Z7" s="0" t="s">
        <v>2927</v>
      </c>
      <c r="AA7" s="0" t="s">
        <v>2928</v>
      </c>
      <c r="AB7" s="0" t="s">
        <v>584</v>
      </c>
      <c r="AC7" s="0" t="s">
        <v>66</v>
      </c>
      <c r="AD7" s="0" t="s">
        <v>66</v>
      </c>
      <c r="AE7" s="0" t="s">
        <v>66</v>
      </c>
      <c r="AF7" s="0" t="s">
        <v>2943</v>
      </c>
      <c r="AG7" s="0" t="s">
        <v>2952</v>
      </c>
      <c r="AH7" s="0" t="s">
        <v>2943</v>
      </c>
      <c r="AI7" s="0" t="s">
        <v>2952</v>
      </c>
      <c r="AJ7" s="0" t="s">
        <v>2943</v>
      </c>
      <c r="AK7" s="0" t="s">
        <v>2952</v>
      </c>
      <c r="AL7" s="0" t="s">
        <v>2933</v>
      </c>
    </row>
    <row customHeight="1" ht="11.25">
      <c r="A8" s="0" t="s">
        <v>22</v>
      </c>
      <c r="B8" s="0" t="s">
        <v>49</v>
      </c>
      <c r="C8" s="0" t="s">
        <v>51</v>
      </c>
      <c r="D8" s="0" t="s">
        <v>22</v>
      </c>
      <c r="E8" s="0" t="s">
        <v>2921</v>
      </c>
      <c r="F8" s="0" t="s">
        <v>1078</v>
      </c>
      <c r="G8" s="0" t="s">
        <v>2837</v>
      </c>
      <c r="H8" s="0" t="s">
        <v>2837</v>
      </c>
      <c r="I8" s="0" t="s">
        <v>2838</v>
      </c>
      <c r="J8" s="0" t="s">
        <v>1079</v>
      </c>
      <c r="K8" s="0" t="s">
        <v>2953</v>
      </c>
      <c r="L8" s="0" t="s">
        <v>2922</v>
      </c>
      <c r="M8" s="0" t="s">
        <v>797</v>
      </c>
      <c r="N8" s="0" t="s">
        <v>110</v>
      </c>
      <c r="O8" s="0" t="s">
        <v>2837</v>
      </c>
      <c r="P8" s="0" t="s">
        <v>2837</v>
      </c>
      <c r="Q8" s="0" t="s">
        <v>2838</v>
      </c>
      <c r="R8" s="0" t="s">
        <v>1079</v>
      </c>
      <c r="S8" s="0" t="s">
        <v>2953</v>
      </c>
      <c r="T8" s="0" t="s">
        <v>2923</v>
      </c>
      <c r="U8" s="0" t="s">
        <v>2924</v>
      </c>
      <c r="V8" s="0" t="s">
        <v>584</v>
      </c>
      <c r="W8" s="0" t="s">
        <v>2925</v>
      </c>
      <c r="X8" s="0" t="s">
        <v>2926</v>
      </c>
      <c r="Y8" s="0" t="s">
        <v>2924</v>
      </c>
      <c r="Z8" s="0" t="s">
        <v>2927</v>
      </c>
      <c r="AA8" s="0" t="s">
        <v>2928</v>
      </c>
      <c r="AB8" s="0" t="s">
        <v>584</v>
      </c>
      <c r="AC8" s="0" t="s">
        <v>66</v>
      </c>
      <c r="AD8" s="0" t="s">
        <v>66</v>
      </c>
      <c r="AE8" s="0" t="s">
        <v>66</v>
      </c>
      <c r="AF8" s="0" t="s">
        <v>2929</v>
      </c>
      <c r="AG8" s="0" t="s">
        <v>2930</v>
      </c>
      <c r="AH8" s="0" t="s">
        <v>2931</v>
      </c>
      <c r="AI8" s="0" t="s">
        <v>2932</v>
      </c>
      <c r="AJ8" s="0" t="s">
        <v>2931</v>
      </c>
      <c r="AK8" s="0" t="s">
        <v>2932</v>
      </c>
      <c r="AL8" s="0" t="s">
        <v>2933</v>
      </c>
    </row>
    <row customHeight="1" ht="11.25">
      <c r="A9" s="0" t="s">
        <v>22</v>
      </c>
      <c r="B9" s="0" t="s">
        <v>49</v>
      </c>
      <c r="C9" s="0" t="s">
        <v>51</v>
      </c>
      <c r="D9" s="0" t="s">
        <v>22</v>
      </c>
      <c r="E9" s="0" t="s">
        <v>603</v>
      </c>
      <c r="F9" s="0" t="s">
        <v>1078</v>
      </c>
      <c r="G9" s="0" t="s">
        <v>2837</v>
      </c>
      <c r="H9" s="0" t="s">
        <v>2837</v>
      </c>
      <c r="I9" s="0" t="s">
        <v>2838</v>
      </c>
      <c r="J9" s="0" t="s">
        <v>1079</v>
      </c>
      <c r="K9" s="0" t="s">
        <v>2953</v>
      </c>
      <c r="L9" s="0" t="s">
        <v>2934</v>
      </c>
      <c r="M9" s="0" t="s">
        <v>1639</v>
      </c>
      <c r="N9" s="0" t="s">
        <v>110</v>
      </c>
      <c r="O9" s="0" t="s">
        <v>2837</v>
      </c>
      <c r="P9" s="0" t="s">
        <v>2837</v>
      </c>
      <c r="Q9" s="0" t="s">
        <v>2838</v>
      </c>
      <c r="R9" s="0" t="s">
        <v>1079</v>
      </c>
      <c r="S9" s="0" t="s">
        <v>2953</v>
      </c>
      <c r="T9" s="0" t="s">
        <v>2923</v>
      </c>
      <c r="U9" s="0" t="s">
        <v>2924</v>
      </c>
      <c r="V9" s="0" t="s">
        <v>584</v>
      </c>
      <c r="W9" s="0" t="s">
        <v>2925</v>
      </c>
      <c r="X9" s="0" t="s">
        <v>2926</v>
      </c>
      <c r="Y9" s="0" t="s">
        <v>2924</v>
      </c>
      <c r="Z9" s="0" t="s">
        <v>2927</v>
      </c>
      <c r="AA9" s="0" t="s">
        <v>2928</v>
      </c>
      <c r="AB9" s="0" t="s">
        <v>584</v>
      </c>
      <c r="AC9" s="0" t="s">
        <v>66</v>
      </c>
      <c r="AD9" s="0" t="s">
        <v>66</v>
      </c>
      <c r="AE9" s="0" t="s">
        <v>66</v>
      </c>
      <c r="AF9" s="0" t="s">
        <v>1551</v>
      </c>
      <c r="AG9" s="0" t="s">
        <v>2935</v>
      </c>
      <c r="AH9" s="0" t="s">
        <v>1551</v>
      </c>
      <c r="AI9" s="0" t="s">
        <v>682</v>
      </c>
      <c r="AJ9" s="0" t="s">
        <v>1551</v>
      </c>
      <c r="AK9" s="0" t="s">
        <v>682</v>
      </c>
      <c r="AL9" s="0" t="s">
        <v>2933</v>
      </c>
    </row>
    <row customHeight="1" ht="11.25">
      <c r="A10" s="0" t="s">
        <v>22</v>
      </c>
      <c r="B10" s="0" t="s">
        <v>49</v>
      </c>
      <c r="C10" s="0" t="s">
        <v>51</v>
      </c>
      <c r="D10" s="0" t="s">
        <v>22</v>
      </c>
      <c r="E10" s="0" t="s">
        <v>1077</v>
      </c>
      <c r="F10" s="0" t="s">
        <v>1078</v>
      </c>
      <c r="G10" s="0" t="s">
        <v>2837</v>
      </c>
      <c r="H10" s="0" t="s">
        <v>2837</v>
      </c>
      <c r="I10" s="0" t="s">
        <v>2838</v>
      </c>
      <c r="J10" s="0" t="s">
        <v>1079</v>
      </c>
      <c r="K10" s="0" t="s">
        <v>2953</v>
      </c>
      <c r="L10" s="0" t="s">
        <v>1081</v>
      </c>
      <c r="M10" s="0" t="s">
        <v>1082</v>
      </c>
      <c r="N10" s="0" t="s">
        <v>110</v>
      </c>
      <c r="O10" s="0" t="s">
        <v>2837</v>
      </c>
      <c r="P10" s="0" t="s">
        <v>2837</v>
      </c>
      <c r="Q10" s="0" t="s">
        <v>2838</v>
      </c>
      <c r="R10" s="0" t="s">
        <v>1079</v>
      </c>
      <c r="S10" s="0" t="s">
        <v>2953</v>
      </c>
      <c r="T10" s="0" t="s">
        <v>2923</v>
      </c>
      <c r="U10" s="0" t="s">
        <v>2924</v>
      </c>
      <c r="V10" s="0" t="s">
        <v>584</v>
      </c>
      <c r="W10" s="0" t="s">
        <v>2925</v>
      </c>
      <c r="X10" s="0" t="s">
        <v>2926</v>
      </c>
      <c r="Y10" s="0" t="s">
        <v>2924</v>
      </c>
      <c r="Z10" s="0" t="s">
        <v>2927</v>
      </c>
      <c r="AA10" s="0" t="s">
        <v>2928</v>
      </c>
      <c r="AB10" s="0" t="s">
        <v>584</v>
      </c>
      <c r="AC10" s="0" t="s">
        <v>66</v>
      </c>
      <c r="AD10" s="0" t="s">
        <v>66</v>
      </c>
      <c r="AE10" s="0" t="s">
        <v>66</v>
      </c>
      <c r="AF10" s="0" t="s">
        <v>2936</v>
      </c>
      <c r="AG10" s="0" t="s">
        <v>2937</v>
      </c>
      <c r="AH10" s="0" t="s">
        <v>2936</v>
      </c>
      <c r="AI10" s="0" t="s">
        <v>2938</v>
      </c>
      <c r="AJ10" s="0" t="s">
        <v>2936</v>
      </c>
      <c r="AK10" s="0" t="s">
        <v>2938</v>
      </c>
      <c r="AL10" s="0" t="s">
        <v>2939</v>
      </c>
    </row>
    <row customHeight="1" ht="11.25">
      <c r="A11" s="0" t="s">
        <v>22</v>
      </c>
      <c r="B11" s="0" t="s">
        <v>49</v>
      </c>
      <c r="C11" s="0" t="s">
        <v>51</v>
      </c>
      <c r="D11" s="0" t="s">
        <v>22</v>
      </c>
      <c r="E11" s="0" t="s">
        <v>606</v>
      </c>
      <c r="F11" s="0" t="s">
        <v>1078</v>
      </c>
      <c r="G11" s="0" t="s">
        <v>2837</v>
      </c>
      <c r="H11" s="0" t="s">
        <v>2837</v>
      </c>
      <c r="I11" s="0" t="s">
        <v>2838</v>
      </c>
      <c r="J11" s="0" t="s">
        <v>2940</v>
      </c>
      <c r="K11" s="0" t="s">
        <v>2954</v>
      </c>
      <c r="L11" s="0" t="s">
        <v>2942</v>
      </c>
      <c r="M11" s="0" t="s">
        <v>797</v>
      </c>
      <c r="N11" s="0" t="s">
        <v>110</v>
      </c>
      <c r="O11" s="0" t="s">
        <v>2837</v>
      </c>
      <c r="P11" s="0" t="s">
        <v>2837</v>
      </c>
      <c r="Q11" s="0" t="s">
        <v>2838</v>
      </c>
      <c r="R11" s="0" t="s">
        <v>2940</v>
      </c>
      <c r="S11" s="0" t="s">
        <v>2954</v>
      </c>
      <c r="T11" s="0" t="s">
        <v>2923</v>
      </c>
      <c r="U11" s="0" t="s">
        <v>2924</v>
      </c>
      <c r="V11" s="0" t="s">
        <v>584</v>
      </c>
      <c r="W11" s="0" t="s">
        <v>2925</v>
      </c>
      <c r="X11" s="0" t="s">
        <v>2926</v>
      </c>
      <c r="Y11" s="0" t="s">
        <v>2924</v>
      </c>
      <c r="Z11" s="0" t="s">
        <v>2927</v>
      </c>
      <c r="AA11" s="0" t="s">
        <v>2928</v>
      </c>
      <c r="AB11" s="0" t="s">
        <v>584</v>
      </c>
      <c r="AC11" s="0" t="s">
        <v>66</v>
      </c>
      <c r="AD11" s="0" t="s">
        <v>66</v>
      </c>
      <c r="AE11" s="0" t="s">
        <v>66</v>
      </c>
      <c r="AF11" s="0" t="s">
        <v>2943</v>
      </c>
      <c r="AG11" s="0" t="s">
        <v>2944</v>
      </c>
      <c r="AH11" s="0" t="s">
        <v>2945</v>
      </c>
      <c r="AI11" s="0" t="s">
        <v>2944</v>
      </c>
      <c r="AJ11" s="0" t="s">
        <v>2945</v>
      </c>
      <c r="AK11" s="0" t="s">
        <v>2944</v>
      </c>
      <c r="AL11" s="0" t="s">
        <v>2933</v>
      </c>
    </row>
    <row customHeight="1" ht="11.25">
      <c r="A12" s="0" t="s">
        <v>22</v>
      </c>
      <c r="B12" s="0" t="s">
        <v>49</v>
      </c>
      <c r="C12" s="0" t="s">
        <v>51</v>
      </c>
      <c r="D12" s="0" t="s">
        <v>22</v>
      </c>
      <c r="E12" s="0" t="s">
        <v>607</v>
      </c>
      <c r="F12" s="0" t="s">
        <v>1078</v>
      </c>
      <c r="G12" s="0" t="s">
        <v>2837</v>
      </c>
      <c r="H12" s="0" t="s">
        <v>2837</v>
      </c>
      <c r="I12" s="0" t="s">
        <v>2838</v>
      </c>
      <c r="J12" s="0" t="s">
        <v>2940</v>
      </c>
      <c r="K12" s="0" t="s">
        <v>2954</v>
      </c>
      <c r="L12" s="0" t="s">
        <v>2946</v>
      </c>
      <c r="M12" s="0" t="s">
        <v>1746</v>
      </c>
      <c r="N12" s="0" t="s">
        <v>110</v>
      </c>
      <c r="O12" s="0" t="s">
        <v>2837</v>
      </c>
      <c r="P12" s="0" t="s">
        <v>2837</v>
      </c>
      <c r="Q12" s="0" t="s">
        <v>2838</v>
      </c>
      <c r="R12" s="0" t="s">
        <v>2940</v>
      </c>
      <c r="S12" s="0" t="s">
        <v>2954</v>
      </c>
      <c r="T12" s="0" t="s">
        <v>2923</v>
      </c>
      <c r="U12" s="0" t="s">
        <v>2924</v>
      </c>
      <c r="V12" s="0" t="s">
        <v>584</v>
      </c>
      <c r="W12" s="0" t="s">
        <v>2925</v>
      </c>
      <c r="X12" s="0" t="s">
        <v>2926</v>
      </c>
      <c r="Y12" s="0" t="s">
        <v>2924</v>
      </c>
      <c r="Z12" s="0" t="s">
        <v>2927</v>
      </c>
      <c r="AA12" s="0" t="s">
        <v>2928</v>
      </c>
      <c r="AB12" s="0" t="s">
        <v>584</v>
      </c>
      <c r="AC12" s="0" t="s">
        <v>66</v>
      </c>
      <c r="AD12" s="0" t="s">
        <v>66</v>
      </c>
      <c r="AE12" s="0" t="s">
        <v>66</v>
      </c>
      <c r="AF12" s="0" t="s">
        <v>2947</v>
      </c>
      <c r="AG12" s="0" t="s">
        <v>2948</v>
      </c>
      <c r="AH12" s="0" t="s">
        <v>2947</v>
      </c>
      <c r="AI12" s="0" t="s">
        <v>2948</v>
      </c>
      <c r="AJ12" s="0" t="s">
        <v>2947</v>
      </c>
      <c r="AK12" s="0" t="s">
        <v>2948</v>
      </c>
      <c r="AL12" s="0" t="s">
        <v>2933</v>
      </c>
    </row>
    <row customHeight="1" ht="11.25">
      <c r="A13" s="0" t="s">
        <v>22</v>
      </c>
      <c r="B13" s="0" t="s">
        <v>49</v>
      </c>
      <c r="C13" s="0" t="s">
        <v>51</v>
      </c>
      <c r="D13" s="0" t="s">
        <v>22</v>
      </c>
      <c r="E13" s="0" t="s">
        <v>607</v>
      </c>
      <c r="F13" s="0" t="s">
        <v>1078</v>
      </c>
      <c r="G13" s="0" t="s">
        <v>2837</v>
      </c>
      <c r="H13" s="0" t="s">
        <v>2837</v>
      </c>
      <c r="I13" s="0" t="s">
        <v>2838</v>
      </c>
      <c r="J13" s="0" t="s">
        <v>2949</v>
      </c>
      <c r="K13" s="0" t="s">
        <v>2955</v>
      </c>
      <c r="L13" s="0" t="s">
        <v>2951</v>
      </c>
      <c r="M13" s="0" t="s">
        <v>157</v>
      </c>
      <c r="N13" s="0" t="s">
        <v>110</v>
      </c>
      <c r="O13" s="0" t="s">
        <v>2837</v>
      </c>
      <c r="P13" s="0" t="s">
        <v>2837</v>
      </c>
      <c r="Q13" s="0" t="s">
        <v>2838</v>
      </c>
      <c r="R13" s="0" t="s">
        <v>2949</v>
      </c>
      <c r="S13" s="0" t="s">
        <v>2955</v>
      </c>
      <c r="T13" s="0" t="s">
        <v>2923</v>
      </c>
      <c r="U13" s="0" t="s">
        <v>2924</v>
      </c>
      <c r="V13" s="0" t="s">
        <v>584</v>
      </c>
      <c r="W13" s="0" t="s">
        <v>2925</v>
      </c>
      <c r="X13" s="0" t="s">
        <v>2926</v>
      </c>
      <c r="Y13" s="0" t="s">
        <v>2924</v>
      </c>
      <c r="Z13" s="0" t="s">
        <v>2927</v>
      </c>
      <c r="AA13" s="0" t="s">
        <v>2928</v>
      </c>
      <c r="AB13" s="0" t="s">
        <v>584</v>
      </c>
      <c r="AC13" s="0" t="s">
        <v>66</v>
      </c>
      <c r="AD13" s="0" t="s">
        <v>66</v>
      </c>
      <c r="AE13" s="0" t="s">
        <v>66</v>
      </c>
      <c r="AF13" s="0" t="s">
        <v>2943</v>
      </c>
      <c r="AG13" s="0" t="s">
        <v>2952</v>
      </c>
      <c r="AH13" s="0" t="s">
        <v>2943</v>
      </c>
      <c r="AI13" s="0" t="s">
        <v>2952</v>
      </c>
      <c r="AJ13" s="0" t="s">
        <v>2943</v>
      </c>
      <c r="AK13" s="0" t="s">
        <v>2952</v>
      </c>
      <c r="AL13" s="0" t="s">
        <v>2933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25BF4-BD78-1748-0388-20777A9374A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36" t="s">
        <v>357</v>
      </c>
      <c r="I1" s="2236"/>
      <c r="J1" s="2236"/>
      <c r="K1" s="2236"/>
      <c r="L1" s="2236"/>
      <c r="M1" s="2236"/>
      <c r="N1" s="2236"/>
      <c r="O1" s="2236"/>
      <c r="P1" s="2236"/>
      <c r="Q1" s="2236"/>
      <c r="R1" s="2236"/>
      <c r="T1" s="2236" t="s">
        <v>358</v>
      </c>
      <c r="U1" s="2236"/>
      <c r="V1" s="2236"/>
      <c r="X1" s="2236" t="s">
        <v>359</v>
      </c>
      <c r="Y1" s="2236"/>
      <c r="Z1" s="2236"/>
      <c r="AB1" s="2236" t="s">
        <v>360</v>
      </c>
      <c r="AC1" s="2236"/>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7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7"/>
      <c r="F4" s="2177"/>
      <c r="G4" s="2177"/>
      <c r="H4" s="2177"/>
      <c r="I4" s="2177"/>
      <c r="J4" s="2177"/>
      <c r="K4" s="2177"/>
      <c r="L4" s="2177"/>
      <c r="M4" s="2177"/>
      <c r="N4" s="2177"/>
      <c r="O4" s="2177"/>
      <c r="P4" s="2177"/>
      <c r="Q4" s="2177"/>
      <c r="R4" s="2178"/>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33" t="str">
        <f>IF(org=0,"Не определено",org)</f>
        <v>Муниципальное унитарное предприятие "Невельские коммунальные сети"</v>
      </c>
      <c r="E5" s="2234"/>
      <c r="F5" s="2234"/>
      <c r="G5" s="2234"/>
      <c r="H5" s="2234"/>
      <c r="I5" s="2234"/>
      <c r="J5" s="2234"/>
      <c r="K5" s="2234"/>
      <c r="L5" s="2234"/>
      <c r="M5" s="2234"/>
      <c r="N5" s="2234"/>
      <c r="O5" s="2234"/>
      <c r="P5" s="2234"/>
      <c r="Q5" s="2234"/>
      <c r="R5" s="2235"/>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7" t="s">
        <v>305</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306</v>
      </c>
      <c r="AF7" s="2242" t="s">
        <v>306</v>
      </c>
      <c r="AG7" s="2242" t="s">
        <v>306</v>
      </c>
      <c r="AH7" s="2242" t="s">
        <v>306</v>
      </c>
      <c r="AT7" s="447">
        <v>14</v>
      </c>
    </row>
    <row customHeight="1" ht="27.299999999999997">
      <c r="C8" s="450"/>
      <c r="D8" s="2146" t="s">
        <v>89</v>
      </c>
      <c r="E8" s="2242" t="str">
        <f>"Наименование "&amp;IF(TEMPLATE_SPHERE&lt;&gt;"HEAT","централизованной ","")&amp;"системы "&amp;TEMPLATE_SPHERE_RUS</f>
        <v>Наименование системы теплоснабжения</v>
      </c>
      <c r="F8" s="2242" t="str">
        <f>IF(TEMPLATE_SPHERE&lt;&gt;"HEAT","Регулируемый вид деятельности","Вид регулируемой деятельности")</f>
        <v>Вид регулируемой деятельности</v>
      </c>
      <c r="G8" s="828"/>
      <c r="H8" s="2243" t="s">
        <v>362</v>
      </c>
      <c r="I8" s="2245" t="s">
        <v>363</v>
      </c>
      <c r="J8" s="2242" t="s">
        <v>364</v>
      </c>
      <c r="K8" s="2242"/>
      <c r="L8" s="2242"/>
      <c r="M8" s="2237"/>
      <c r="N8" s="2242" t="s">
        <v>365</v>
      </c>
      <c r="O8" s="2242"/>
      <c r="P8" s="2242" t="s">
        <v>366</v>
      </c>
      <c r="Q8" s="2242"/>
      <c r="R8" s="2249" t="s">
        <v>367</v>
      </c>
      <c r="S8" s="824"/>
      <c r="T8" s="2247" t="s">
        <v>368</v>
      </c>
      <c r="U8" s="2247" t="s">
        <v>369</v>
      </c>
      <c r="V8" s="2247" t="s">
        <v>370</v>
      </c>
      <c r="W8" s="826"/>
      <c r="X8" s="2247" t="s">
        <v>371</v>
      </c>
      <c r="Y8" s="2247" t="s">
        <v>372</v>
      </c>
      <c r="Z8" s="2247" t="s">
        <v>373</v>
      </c>
      <c r="AA8" s="826"/>
      <c r="AB8" s="2247" t="s">
        <v>374</v>
      </c>
      <c r="AC8" s="2247" t="s">
        <v>367</v>
      </c>
      <c r="AD8" s="826"/>
      <c r="AE8" s="2242"/>
      <c r="AF8" s="2242"/>
      <c r="AG8" s="2242"/>
      <c r="AH8" s="2242"/>
      <c r="AT8" s="447">
        <v>26</v>
      </c>
    </row>
    <row customHeight="1" ht="46.199999999999996">
      <c r="C9" s="450"/>
      <c r="D9" s="2146"/>
      <c r="E9" s="2242"/>
      <c r="F9" s="2242"/>
      <c r="G9" s="829"/>
      <c r="H9" s="2244"/>
      <c r="I9" s="2246"/>
      <c r="J9" s="425" t="s">
        <v>375</v>
      </c>
      <c r="K9" s="425" t="s">
        <v>376</v>
      </c>
      <c r="L9" s="425" t="s">
        <v>377</v>
      </c>
      <c r="M9" s="431" t="s">
        <v>378</v>
      </c>
      <c r="N9" s="425" t="s">
        <v>379</v>
      </c>
      <c r="O9" s="425" t="s">
        <v>378</v>
      </c>
      <c r="P9" s="425" t="s">
        <v>380</v>
      </c>
      <c r="Q9" s="425" t="s">
        <v>378</v>
      </c>
      <c r="R9" s="2250"/>
      <c r="S9" s="825"/>
      <c r="T9" s="2248"/>
      <c r="U9" s="2248"/>
      <c r="V9" s="2248"/>
      <c r="W9" s="827"/>
      <c r="X9" s="2248"/>
      <c r="Y9" s="2248"/>
      <c r="Z9" s="2248"/>
      <c r="AA9" s="827"/>
      <c r="AB9" s="2248"/>
      <c r="AC9" s="2248"/>
      <c r="AD9" s="827"/>
      <c r="AE9" s="2242"/>
      <c r="AF9" s="2242"/>
      <c r="AG9" s="2242"/>
      <c r="AH9" s="2242"/>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0" t="s">
        <v>382</v>
      </c>
      <c r="AF12" s="2240" t="s">
        <v>383</v>
      </c>
      <c r="AG12" s="2240" t="s">
        <v>384</v>
      </c>
      <c r="AH12" s="2240"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1"/>
      <c r="AF13" s="2241"/>
      <c r="AG13" s="2241"/>
      <c r="AH13" s="2241"/>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B04F8-7636-A3EF-BF48-2EFE1336729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137</v>
      </c>
      <c r="B1" s="183" t="s">
        <v>2956</v>
      </c>
    </row>
    <row customHeight="1" ht="11.25">
      <c r="A2" s="183" t="s">
        <v>99</v>
      </c>
      <c r="B2" s="183" t="s">
        <v>2957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7DCC3-3C68-2D92-B39F-94B527DCED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2958</v>
      </c>
      <c r="B1" s="835" t="s">
        <v>2959</v>
      </c>
    </row>
    <row customHeight="1" ht="11.25">
      <c r="A2" s="835">
        <v>4213775</v>
      </c>
      <c r="B2" s="835" t="s">
        <v>1306</v>
      </c>
    </row>
    <row customHeight="1" ht="11.25">
      <c r="A3" s="835">
        <v>4213784</v>
      </c>
      <c r="B3" s="835" t="s">
        <v>1339</v>
      </c>
    </row>
    <row customHeight="1" ht="11.25">
      <c r="A4" s="835">
        <v>4213781</v>
      </c>
      <c r="B4" s="835" t="s">
        <v>1332</v>
      </c>
    </row>
    <row customHeight="1" ht="11.25">
      <c r="A5" s="835">
        <v>4213776</v>
      </c>
      <c r="B5" s="835" t="s">
        <v>173</v>
      </c>
    </row>
    <row customHeight="1" ht="11.25">
      <c r="A6" s="835">
        <v>4213777</v>
      </c>
      <c r="B6" s="835" t="s">
        <v>179</v>
      </c>
    </row>
    <row customHeight="1" ht="11.25">
      <c r="A7" s="835">
        <v>4213778</v>
      </c>
      <c r="B7" s="835" t="s">
        <v>185</v>
      </c>
    </row>
    <row customHeight="1" ht="11.25">
      <c r="A8" s="835">
        <v>4213780</v>
      </c>
      <c r="B8" s="835" t="s">
        <v>191</v>
      </c>
    </row>
    <row customHeight="1" ht="11.25">
      <c r="A9" s="835">
        <v>4213779</v>
      </c>
      <c r="B9" s="835" t="s">
        <v>1469</v>
      </c>
    </row>
    <row customHeight="1" ht="11.25">
      <c r="A10" s="835">
        <v>4213783</v>
      </c>
      <c r="B10" s="835" t="s">
        <v>1485</v>
      </c>
    </row>
    <row customHeight="1" ht="11.25">
      <c r="A11" s="835">
        <v>4213782</v>
      </c>
      <c r="B11" s="83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CACAD-FF48-1018-E038-5AA32C3F28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s>
  <sheetData>
    <row customHeight="1" ht="11.25">
      <c r="A1" s="835" t="s">
        <v>2958</v>
      </c>
      <c r="B1" s="0" t="s">
        <v>2960</v>
      </c>
    </row>
    <row customHeight="1" ht="11.25">
      <c r="A2" s="835" t="s">
        <v>119</v>
      </c>
      <c r="B2" s="0" t="s">
        <v>1583</v>
      </c>
    </row>
    <row customHeight="1" ht="11.25">
      <c r="A3" s="1690" t="s">
        <v>2961</v>
      </c>
      <c r="B3" s="0" t="s">
        <v>1593</v>
      </c>
    </row>
    <row customHeight="1" ht="11.25">
      <c r="A4" s="1690" t="s">
        <v>2962</v>
      </c>
      <c r="B4" s="0" t="s">
        <v>1602</v>
      </c>
    </row>
    <row customHeight="1" ht="11.25">
      <c r="A5" s="1690" t="s">
        <v>2963</v>
      </c>
      <c r="B5" s="0" t="s">
        <v>1611</v>
      </c>
    </row>
    <row customHeight="1" ht="11.25">
      <c r="A6" s="1690" t="s">
        <v>2964</v>
      </c>
      <c r="B6" s="0" t="s">
        <v>1617</v>
      </c>
    </row>
    <row customHeight="1" ht="11.25">
      <c r="A7" s="1690" t="s">
        <v>2965</v>
      </c>
      <c r="B7" s="0" t="s">
        <v>1625</v>
      </c>
    </row>
    <row customHeight="1" ht="11.25">
      <c r="A8" s="1690" t="s">
        <v>2966</v>
      </c>
      <c r="B8" s="0" t="s">
        <v>1631</v>
      </c>
    </row>
    <row customHeight="1" ht="11.25">
      <c r="A9" s="1690" t="s">
        <v>2967</v>
      </c>
      <c r="B9" s="0" t="s">
        <v>1637</v>
      </c>
    </row>
    <row customHeight="1" ht="11.25">
      <c r="A10" s="1690" t="s">
        <v>2968</v>
      </c>
      <c r="B10" s="0" t="s">
        <v>1641</v>
      </c>
    </row>
    <row customHeight="1" ht="11.25">
      <c r="A11" s="1690" t="s">
        <v>2969</v>
      </c>
      <c r="B11" s="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C91F8-7D48-9DD8-D7A8-DA007C4F7B4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2782</v>
      </c>
      <c r="B1" s="373" t="s">
        <v>2783</v>
      </c>
      <c r="C1" s="373" t="s">
        <v>2784</v>
      </c>
      <c r="D1" s="373" t="s">
        <v>2785</v>
      </c>
      <c r="E1" s="0" t="s">
        <v>2786</v>
      </c>
      <c r="F1" s="0" t="s">
        <v>2787</v>
      </c>
      <c r="G1" s="0" t="s">
        <v>2788</v>
      </c>
    </row>
    <row customHeight="1" ht="11.25">
      <c r="A2" s="0" t="s">
        <v>16</v>
      </c>
      <c r="B2" s="0" t="s">
        <v>2789</v>
      </c>
      <c r="C2" s="0" t="s">
        <v>2790</v>
      </c>
      <c r="D2" s="0" t="s">
        <v>2789</v>
      </c>
      <c r="E2" s="0" t="s">
        <v>2790</v>
      </c>
      <c r="F2" s="0" t="s">
        <v>2791</v>
      </c>
      <c r="G2" s="0" t="s">
        <v>110</v>
      </c>
    </row>
    <row customHeight="1" ht="11.25">
      <c r="A3" s="0" t="s">
        <v>16</v>
      </c>
      <c r="B3" s="0" t="s">
        <v>2792</v>
      </c>
      <c r="C3" s="0" t="s">
        <v>2793</v>
      </c>
      <c r="D3" s="0" t="s">
        <v>2792</v>
      </c>
      <c r="E3" s="0" t="s">
        <v>2793</v>
      </c>
      <c r="F3" s="0" t="s">
        <v>2791</v>
      </c>
      <c r="G3" s="0" t="s">
        <v>111</v>
      </c>
    </row>
    <row customHeight="1" ht="11.25">
      <c r="A4" s="0" t="s">
        <v>16</v>
      </c>
      <c r="B4" s="0" t="s">
        <v>2794</v>
      </c>
      <c r="C4" s="0" t="s">
        <v>2795</v>
      </c>
      <c r="D4" s="0" t="s">
        <v>2794</v>
      </c>
      <c r="E4" s="0" t="s">
        <v>2795</v>
      </c>
      <c r="F4" s="0" t="s">
        <v>2791</v>
      </c>
      <c r="G4" s="0" t="s">
        <v>91</v>
      </c>
    </row>
    <row customHeight="1" ht="11.25">
      <c r="A5" s="0" t="s">
        <v>16</v>
      </c>
      <c r="B5" s="0" t="s">
        <v>2796</v>
      </c>
      <c r="C5" s="0" t="s">
        <v>2797</v>
      </c>
      <c r="D5" s="0" t="s">
        <v>2796</v>
      </c>
      <c r="E5" s="0" t="s">
        <v>2797</v>
      </c>
      <c r="F5" s="0" t="s">
        <v>2791</v>
      </c>
      <c r="G5" s="0" t="s">
        <v>92</v>
      </c>
    </row>
    <row customHeight="1" ht="11.25">
      <c r="A6" s="0" t="s">
        <v>16</v>
      </c>
      <c r="B6" s="0" t="s">
        <v>101</v>
      </c>
      <c r="C6" s="0" t="s">
        <v>102</v>
      </c>
      <c r="D6" s="0" t="s">
        <v>101</v>
      </c>
      <c r="E6" s="0" t="s">
        <v>102</v>
      </c>
      <c r="F6" s="0" t="s">
        <v>2791</v>
      </c>
      <c r="G6" s="0" t="s">
        <v>100</v>
      </c>
    </row>
    <row customHeight="1" ht="11.25">
      <c r="A7" s="0" t="s">
        <v>16</v>
      </c>
      <c r="B7" s="0" t="s">
        <v>2798</v>
      </c>
      <c r="C7" s="0" t="s">
        <v>2799</v>
      </c>
      <c r="D7" s="0" t="s">
        <v>2798</v>
      </c>
      <c r="E7" s="0" t="s">
        <v>2799</v>
      </c>
      <c r="F7" s="0" t="s">
        <v>2791</v>
      </c>
      <c r="G7" s="0" t="s">
        <v>93</v>
      </c>
    </row>
    <row customHeight="1" ht="11.25">
      <c r="A8" s="0" t="s">
        <v>16</v>
      </c>
      <c r="B8" s="0" t="s">
        <v>2800</v>
      </c>
      <c r="C8" s="0" t="s">
        <v>2801</v>
      </c>
      <c r="D8" s="0" t="s">
        <v>2800</v>
      </c>
      <c r="E8" s="0" t="s">
        <v>2801</v>
      </c>
      <c r="F8" s="0" t="s">
        <v>2791</v>
      </c>
      <c r="G8" s="0" t="s">
        <v>94</v>
      </c>
    </row>
    <row customHeight="1" ht="11.25">
      <c r="A9" s="0" t="s">
        <v>16</v>
      </c>
      <c r="B9" s="0" t="s">
        <v>2802</v>
      </c>
      <c r="C9" s="0" t="s">
        <v>2803</v>
      </c>
      <c r="D9" s="0" t="s">
        <v>2802</v>
      </c>
      <c r="E9" s="0" t="s">
        <v>2803</v>
      </c>
      <c r="F9" s="0" t="s">
        <v>2791</v>
      </c>
      <c r="G9" s="0" t="s">
        <v>112</v>
      </c>
    </row>
    <row customHeight="1" ht="11.25">
      <c r="A10" s="0" t="s">
        <v>16</v>
      </c>
      <c r="B10" s="0" t="s">
        <v>2804</v>
      </c>
      <c r="C10" s="0" t="s">
        <v>2805</v>
      </c>
      <c r="D10" s="0" t="s">
        <v>2804</v>
      </c>
      <c r="E10" s="0" t="s">
        <v>2805</v>
      </c>
      <c r="F10" s="0" t="s">
        <v>2791</v>
      </c>
      <c r="G10" s="0" t="s">
        <v>155</v>
      </c>
    </row>
    <row customHeight="1" ht="11.25">
      <c r="A11" s="0" t="s">
        <v>16</v>
      </c>
      <c r="B11" s="0" t="s">
        <v>2806</v>
      </c>
      <c r="C11" s="0" t="s">
        <v>2807</v>
      </c>
      <c r="D11" s="0" t="s">
        <v>2806</v>
      </c>
      <c r="E11" s="0" t="s">
        <v>2807</v>
      </c>
      <c r="F11" s="0" t="s">
        <v>2791</v>
      </c>
      <c r="G11" s="0" t="s">
        <v>156</v>
      </c>
    </row>
    <row customHeight="1" ht="11.25">
      <c r="A12" s="0" t="s">
        <v>16</v>
      </c>
      <c r="B12" s="0" t="s">
        <v>2808</v>
      </c>
      <c r="C12" s="0" t="s">
        <v>2809</v>
      </c>
      <c r="D12" s="0" t="s">
        <v>2808</v>
      </c>
      <c r="E12" s="0" t="s">
        <v>2809</v>
      </c>
      <c r="F12" s="0" t="s">
        <v>2791</v>
      </c>
      <c r="G12" s="0" t="s">
        <v>157</v>
      </c>
    </row>
    <row customHeight="1" ht="11.25">
      <c r="A13" s="0" t="s">
        <v>16</v>
      </c>
      <c r="B13" s="0" t="s">
        <v>2810</v>
      </c>
      <c r="C13" s="0" t="s">
        <v>2811</v>
      </c>
      <c r="D13" s="0" t="s">
        <v>2810</v>
      </c>
      <c r="E13" s="0" t="s">
        <v>2811</v>
      </c>
      <c r="F13" s="0" t="s">
        <v>2791</v>
      </c>
      <c r="G13" s="0" t="s">
        <v>158</v>
      </c>
    </row>
    <row customHeight="1" ht="11.25">
      <c r="A14" s="0" t="s">
        <v>16</v>
      </c>
      <c r="B14" s="0" t="s">
        <v>2812</v>
      </c>
      <c r="C14" s="0" t="s">
        <v>2813</v>
      </c>
      <c r="D14" s="0" t="s">
        <v>2812</v>
      </c>
      <c r="E14" s="0" t="s">
        <v>2813</v>
      </c>
      <c r="F14" s="0" t="s">
        <v>2791</v>
      </c>
      <c r="G14" s="0" t="s">
        <v>159</v>
      </c>
    </row>
    <row customHeight="1" ht="11.25">
      <c r="A15" s="0" t="s">
        <v>16</v>
      </c>
      <c r="B15" s="0" t="s">
        <v>2814</v>
      </c>
      <c r="C15" s="0" t="s">
        <v>2815</v>
      </c>
      <c r="D15" s="0" t="s">
        <v>2814</v>
      </c>
      <c r="E15" s="0" t="s">
        <v>2815</v>
      </c>
      <c r="F15" s="0" t="s">
        <v>2791</v>
      </c>
      <c r="G15" s="0" t="s">
        <v>160</v>
      </c>
    </row>
    <row customHeight="1" ht="11.25">
      <c r="A16" s="0" t="s">
        <v>16</v>
      </c>
      <c r="B16" s="0" t="s">
        <v>2816</v>
      </c>
      <c r="C16" s="0" t="s">
        <v>2817</v>
      </c>
      <c r="D16" s="0" t="s">
        <v>2816</v>
      </c>
      <c r="E16" s="0" t="s">
        <v>2817</v>
      </c>
      <c r="F16" s="0" t="s">
        <v>2791</v>
      </c>
      <c r="G16" s="0" t="s">
        <v>1545</v>
      </c>
    </row>
    <row customHeight="1" ht="11.25">
      <c r="A17" s="0" t="s">
        <v>16</v>
      </c>
      <c r="B17" s="0" t="s">
        <v>2818</v>
      </c>
      <c r="C17" s="0" t="s">
        <v>2819</v>
      </c>
      <c r="D17" s="0" t="s">
        <v>2818</v>
      </c>
      <c r="E17" s="0" t="s">
        <v>2819</v>
      </c>
      <c r="F17" s="0" t="s">
        <v>2791</v>
      </c>
      <c r="G17" s="0" t="s">
        <v>1551</v>
      </c>
    </row>
    <row customHeight="1" ht="11.25">
      <c r="A18" s="0" t="s">
        <v>16</v>
      </c>
      <c r="B18" s="0" t="s">
        <v>2820</v>
      </c>
      <c r="C18" s="0" t="s">
        <v>2821</v>
      </c>
      <c r="D18" s="0" t="s">
        <v>2820</v>
      </c>
      <c r="E18" s="0" t="s">
        <v>2821</v>
      </c>
      <c r="F18" s="0" t="s">
        <v>2791</v>
      </c>
      <c r="G18" s="0" t="s">
        <v>1563</v>
      </c>
    </row>
    <row customHeight="1" ht="11.25">
      <c r="A19" s="0" t="s">
        <v>16</v>
      </c>
      <c r="B19" s="0" t="s">
        <v>2822</v>
      </c>
      <c r="C19" s="0" t="s">
        <v>2823</v>
      </c>
      <c r="D19" s="0" t="s">
        <v>2822</v>
      </c>
      <c r="E19" s="0" t="s">
        <v>2823</v>
      </c>
      <c r="F19" s="0" t="s">
        <v>2791</v>
      </c>
      <c r="G19" s="0" t="s">
        <v>1577</v>
      </c>
    </row>
    <row customHeight="1" ht="11.25">
      <c r="A20" s="0" t="s">
        <v>16</v>
      </c>
      <c r="B20" s="0" t="s">
        <v>2824</v>
      </c>
      <c r="C20" s="0" t="s">
        <v>2825</v>
      </c>
      <c r="D20" s="0" t="s">
        <v>2824</v>
      </c>
      <c r="E20" s="0" t="s">
        <v>2825</v>
      </c>
      <c r="F20" s="0" t="s">
        <v>2826</v>
      </c>
      <c r="G20" s="0" t="s">
        <v>1589</v>
      </c>
    </row>
    <row customHeight="1" ht="11.25">
      <c r="A21" s="0" t="s">
        <v>16</v>
      </c>
      <c r="B21" s="0" t="s">
        <v>2827</v>
      </c>
      <c r="C21" s="0" t="s">
        <v>2828</v>
      </c>
      <c r="D21" s="0" t="s">
        <v>2827</v>
      </c>
      <c r="E21" s="0" t="s">
        <v>2828</v>
      </c>
      <c r="F21" s="0" t="s">
        <v>2826</v>
      </c>
      <c r="G21" s="0" t="s">
        <v>1598</v>
      </c>
    </row>
    <row customHeight="1" ht="11.25">
      <c r="A22" s="0" t="s">
        <v>16</v>
      </c>
      <c r="B22" s="0" t="s">
        <v>2829</v>
      </c>
      <c r="C22" s="0" t="s">
        <v>2830</v>
      </c>
      <c r="D22" s="0" t="s">
        <v>2829</v>
      </c>
      <c r="E22" s="0" t="s">
        <v>2830</v>
      </c>
      <c r="F22" s="0" t="s">
        <v>2826</v>
      </c>
      <c r="G22" s="0" t="s">
        <v>1614</v>
      </c>
    </row>
    <row customHeight="1" ht="11.25">
      <c r="A23" s="0" t="s">
        <v>16</v>
      </c>
      <c r="B23" s="0" t="s">
        <v>2831</v>
      </c>
      <c r="C23" s="0" t="s">
        <v>2832</v>
      </c>
      <c r="D23" s="0" t="s">
        <v>2831</v>
      </c>
      <c r="E23" s="0" t="s">
        <v>2832</v>
      </c>
      <c r="F23" s="0" t="s">
        <v>2826</v>
      </c>
      <c r="G23" s="0" t="s">
        <v>1621</v>
      </c>
    </row>
    <row customHeight="1" ht="11.25">
      <c r="A24" s="0" t="s">
        <v>16</v>
      </c>
      <c r="B24" s="0" t="s">
        <v>2833</v>
      </c>
      <c r="C24" s="0" t="s">
        <v>2834</v>
      </c>
      <c r="D24" s="0" t="s">
        <v>2833</v>
      </c>
      <c r="E24" s="0" t="s">
        <v>2834</v>
      </c>
      <c r="F24" s="0" t="s">
        <v>2826</v>
      </c>
      <c r="G24" s="0" t="s">
        <v>1629</v>
      </c>
    </row>
    <row customHeight="1" ht="11.25">
      <c r="A25" s="0" t="s">
        <v>16</v>
      </c>
      <c r="B25" s="0" t="s">
        <v>2835</v>
      </c>
      <c r="C25" s="0" t="s">
        <v>2836</v>
      </c>
      <c r="D25" s="0" t="s">
        <v>2835</v>
      </c>
      <c r="E25" s="0" t="s">
        <v>2836</v>
      </c>
      <c r="F25" s="0" t="s">
        <v>2826</v>
      </c>
      <c r="G25" s="0" t="s">
        <v>1635</v>
      </c>
    </row>
    <row customHeight="1" ht="11.25">
      <c r="A26" s="0" t="s">
        <v>16</v>
      </c>
      <c r="B26" s="0" t="s">
        <v>2837</v>
      </c>
      <c r="C26" s="0" t="s">
        <v>2838</v>
      </c>
      <c r="D26" s="0" t="s">
        <v>2837</v>
      </c>
      <c r="E26" s="0" t="s">
        <v>2838</v>
      </c>
      <c r="F26" s="0" t="s">
        <v>2826</v>
      </c>
      <c r="G26" s="0" t="s">
        <v>1639</v>
      </c>
    </row>
    <row customHeight="1" ht="11.25">
      <c r="A27" s="0" t="s">
        <v>16</v>
      </c>
      <c r="B27" s="0" t="s">
        <v>2839</v>
      </c>
      <c r="C27" s="0" t="s">
        <v>2840</v>
      </c>
      <c r="D27" s="0" t="s">
        <v>2839</v>
      </c>
      <c r="E27" s="0" t="s">
        <v>2840</v>
      </c>
      <c r="F27" s="0" t="s">
        <v>2826</v>
      </c>
      <c r="G27" s="0" t="s">
        <v>1644</v>
      </c>
    </row>
    <row customHeight="1" ht="11.25">
      <c r="A28" s="0" t="s">
        <v>16</v>
      </c>
      <c r="B28" s="0" t="s">
        <v>2841</v>
      </c>
      <c r="C28" s="0" t="s">
        <v>2842</v>
      </c>
      <c r="D28" s="0" t="s">
        <v>2841</v>
      </c>
      <c r="E28" s="0" t="s">
        <v>2842</v>
      </c>
      <c r="F28" s="0" t="s">
        <v>2826</v>
      </c>
      <c r="G28" s="0" t="s">
        <v>1652</v>
      </c>
    </row>
    <row customHeight="1" ht="11.25">
      <c r="A29" s="0" t="s">
        <v>16</v>
      </c>
      <c r="B29" s="0" t="s">
        <v>2843</v>
      </c>
      <c r="C29" s="0" t="s">
        <v>2844</v>
      </c>
      <c r="D29" s="0" t="s">
        <v>2843</v>
      </c>
      <c r="E29" s="0" t="s">
        <v>2844</v>
      </c>
      <c r="F29" s="0" t="s">
        <v>2826</v>
      </c>
      <c r="G29" s="0" t="s">
        <v>1654</v>
      </c>
    </row>
    <row customHeight="1" ht="11.25">
      <c r="A30" s="0" t="s">
        <v>16</v>
      </c>
      <c r="B30" s="0" t="s">
        <v>2845</v>
      </c>
      <c r="C30" s="0" t="s">
        <v>2846</v>
      </c>
      <c r="D30" s="0" t="s">
        <v>2845</v>
      </c>
      <c r="E30" s="0" t="s">
        <v>2846</v>
      </c>
      <c r="F30" s="0" t="s">
        <v>2826</v>
      </c>
      <c r="G30" s="0" t="s">
        <v>1657</v>
      </c>
    </row>
    <row customHeight="1" ht="11.25">
      <c r="A31" s="0" t="s">
        <v>16</v>
      </c>
      <c r="B31" s="0" t="s">
        <v>2847</v>
      </c>
      <c r="C31" s="0" t="s">
        <v>2848</v>
      </c>
      <c r="D31" s="0" t="s">
        <v>2847</v>
      </c>
      <c r="E31" s="0" t="s">
        <v>2848</v>
      </c>
      <c r="F31" s="0" t="s">
        <v>2826</v>
      </c>
      <c r="G31" s="0" t="s">
        <v>1663</v>
      </c>
    </row>
    <row customHeight="1" ht="11.25">
      <c r="A32" s="0" t="s">
        <v>16</v>
      </c>
      <c r="B32" s="0" t="s">
        <v>2849</v>
      </c>
      <c r="C32" s="0" t="s">
        <v>2850</v>
      </c>
      <c r="D32" s="0" t="s">
        <v>2849</v>
      </c>
      <c r="E32" s="0" t="s">
        <v>2850</v>
      </c>
      <c r="F32" s="0" t="s">
        <v>2826</v>
      </c>
      <c r="G32" s="0" t="s">
        <v>1665</v>
      </c>
    </row>
    <row customHeight="1" ht="11.25">
      <c r="A33" s="0" t="s">
        <v>16</v>
      </c>
      <c r="B33" s="0" t="s">
        <v>2851</v>
      </c>
      <c r="C33" s="0" t="s">
        <v>2852</v>
      </c>
      <c r="D33" s="0" t="s">
        <v>2851</v>
      </c>
      <c r="E33" s="0" t="s">
        <v>2852</v>
      </c>
      <c r="F33" s="0" t="s">
        <v>2826</v>
      </c>
      <c r="G33" s="0" t="s">
        <v>1667</v>
      </c>
    </row>
    <row customHeight="1" ht="11.25">
      <c r="A34" s="0" t="s">
        <v>16</v>
      </c>
      <c r="B34" s="0" t="s">
        <v>2853</v>
      </c>
      <c r="C34" s="0" t="s">
        <v>2854</v>
      </c>
      <c r="D34" s="0" t="s">
        <v>2853</v>
      </c>
      <c r="E34" s="0" t="s">
        <v>2854</v>
      </c>
      <c r="F34" s="0" t="s">
        <v>2826</v>
      </c>
      <c r="G34" s="0" t="s">
        <v>1669</v>
      </c>
    </row>
    <row customHeight="1" ht="11.25">
      <c r="A35" s="0" t="s">
        <v>16</v>
      </c>
      <c r="B35" s="0" t="s">
        <v>2855</v>
      </c>
      <c r="C35" s="0" t="s">
        <v>2856</v>
      </c>
      <c r="D35" s="0" t="s">
        <v>2855</v>
      </c>
      <c r="E35" s="0" t="s">
        <v>2856</v>
      </c>
      <c r="F35" s="0" t="s">
        <v>2826</v>
      </c>
      <c r="G35" s="0" t="s">
        <v>1674</v>
      </c>
    </row>
    <row customHeight="1" ht="11.25">
      <c r="A36" s="0" t="s">
        <v>16</v>
      </c>
      <c r="B36" s="0" t="s">
        <v>2857</v>
      </c>
      <c r="C36" s="0" t="s">
        <v>2858</v>
      </c>
      <c r="D36" s="0" t="s">
        <v>2857</v>
      </c>
      <c r="E36" s="0" t="s">
        <v>2858</v>
      </c>
      <c r="F36" s="0" t="s">
        <v>2826</v>
      </c>
      <c r="G36" s="0" t="s">
        <v>1679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79F98-6A8B-85DC-EF98-5966A11DACE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2970</v>
      </c>
      <c r="B1" s="835" t="s">
        <v>2971</v>
      </c>
      <c r="C1" s="835" t="s">
        <v>1251</v>
      </c>
    </row>
    <row customHeight="1" ht="11.25">
      <c r="A2" s="835">
        <v>4189678</v>
      </c>
      <c r="B2" s="835" t="s">
        <v>2972</v>
      </c>
      <c r="C2" s="835" t="s">
        <v>2973</v>
      </c>
    </row>
    <row customHeight="1" ht="11.25">
      <c r="A3" s="835">
        <v>4190415</v>
      </c>
      <c r="B3" s="835" t="s">
        <v>2974</v>
      </c>
      <c r="C3" s="835" t="s">
        <v>2973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49938-CDB8-C9B8-5598-0E2B7A19FE9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2975</v>
      </c>
      <c r="B1" s="163" t="s">
        <v>2976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AAB86-CF3A-FD38-85B8-20BA76CB313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2977</v>
      </c>
      <c r="B1" s="0" t="b">
        <v>1</v>
      </c>
    </row>
    <row customHeight="1" ht="11.25">
      <c r="A2" s="0" t="s">
        <v>2978</v>
      </c>
      <c r="B2" s="0" t="b">
        <v>0</v>
      </c>
    </row>
    <row customHeight="1" ht="11.25">
      <c r="A3" s="0" t="s">
        <v>2979</v>
      </c>
      <c r="B3" s="0" t="b">
        <v>1</v>
      </c>
    </row>
    <row customHeight="1" ht="11.25">
      <c r="A4" s="0" t="s">
        <v>2980</v>
      </c>
      <c r="B4" s="0" t="b">
        <v>0</v>
      </c>
    </row>
    <row customHeight="1" ht="11.25">
      <c r="A5" s="0" t="s">
        <v>2981</v>
      </c>
      <c r="B5" s="0" t="b">
        <v>0</v>
      </c>
    </row>
    <row customHeight="1" ht="11.25">
      <c r="A6" s="0" t="s">
        <v>2982</v>
      </c>
      <c r="B6" s="0" t="b">
        <v>0</v>
      </c>
    </row>
    <row customHeight="1" ht="11.25">
      <c r="A7" s="0" t="s">
        <v>2983</v>
      </c>
      <c r="B7" s="0" t="b">
        <v>0</v>
      </c>
    </row>
    <row customHeight="1" ht="11.25">
      <c r="A8" s="0" t="s">
        <v>2984</v>
      </c>
      <c r="B8" s="0" t="b">
        <v>0</v>
      </c>
    </row>
    <row customHeight="1" ht="11.25">
      <c r="A9" s="0" t="s">
        <v>2985</v>
      </c>
      <c r="B9" s="0" t="b">
        <v>0</v>
      </c>
    </row>
    <row customHeight="1" ht="11.25">
      <c r="A10" s="0" t="s">
        <v>2986</v>
      </c>
      <c r="B10" s="0" t="b">
        <v>1</v>
      </c>
    </row>
    <row customHeight="1" ht="11.25">
      <c r="A11" s="0" t="s">
        <v>2987</v>
      </c>
      <c r="B11" s="0" t="b">
        <v>0</v>
      </c>
    </row>
    <row customHeight="1" ht="11.25">
      <c r="A12" s="0" t="s">
        <v>2988</v>
      </c>
      <c r="B12" s="0" t="b">
        <v>0</v>
      </c>
    </row>
    <row customHeight="1" ht="11.25">
      <c r="A13" s="0" t="s">
        <v>2989</v>
      </c>
      <c r="B13" s="0" t="b">
        <v>0</v>
      </c>
    </row>
    <row customHeight="1" ht="11.25">
      <c r="A14" s="0" t="s">
        <v>2990</v>
      </c>
      <c r="B14" s="0" t="b">
        <v>0</v>
      </c>
    </row>
    <row customHeight="1" ht="11.25">
      <c r="A15" s="0" t="s">
        <v>2991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F6B81-3398-E804-B558-E185F0083D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07A4F-8E49-7BBB-01FF-03C2FE066F2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2992</v>
      </c>
      <c r="B1" s="67" t="s">
        <v>2993</v>
      </c>
    </row>
    <row customHeight="1" ht="11.25">
      <c r="A2" s="64" t="s">
        <v>2994</v>
      </c>
      <c r="B2" s="64" t="s">
        <v>2995</v>
      </c>
    </row>
    <row customHeight="1" ht="11.25">
      <c r="A3" s="64" t="s">
        <v>2996</v>
      </c>
      <c r="B3" s="64" t="s">
        <v>2997</v>
      </c>
    </row>
    <row customHeight="1" ht="11.25">
      <c r="A4" s="64" t="s">
        <v>2998</v>
      </c>
      <c r="B4" s="64" t="s">
        <v>2999</v>
      </c>
    </row>
    <row customHeight="1" ht="11.25">
      <c r="A5" s="64" t="s">
        <v>3000</v>
      </c>
      <c r="B5" s="64" t="s">
        <v>3001</v>
      </c>
    </row>
    <row customHeight="1" ht="11.25">
      <c r="A6" s="64" t="s">
        <v>3002</v>
      </c>
      <c r="B6" s="64" t="s">
        <v>3003</v>
      </c>
    </row>
    <row customHeight="1" ht="11.25">
      <c r="A7" s="64" t="s">
        <v>3004</v>
      </c>
      <c r="B7" s="64" t="s">
        <v>3005</v>
      </c>
    </row>
    <row customHeight="1" ht="11.25">
      <c r="A8" s="64" t="s">
        <v>3006</v>
      </c>
      <c r="B8" s="64" t="s">
        <v>3007</v>
      </c>
    </row>
    <row customHeight="1" ht="11.25">
      <c r="A9" s="64" t="s">
        <v>3008</v>
      </c>
      <c r="B9" s="64" t="s">
        <v>3009</v>
      </c>
    </row>
    <row customHeight="1" ht="11.25">
      <c r="A10" s="64" t="s">
        <v>3010</v>
      </c>
      <c r="B10" s="64" t="s">
        <v>3011</v>
      </c>
    </row>
    <row customHeight="1" ht="11.25">
      <c r="A11" s="64" t="s">
        <v>3012</v>
      </c>
      <c r="B11" s="64" t="s">
        <v>3013</v>
      </c>
    </row>
    <row customHeight="1" ht="11.25">
      <c r="A12" s="64" t="s">
        <v>3014</v>
      </c>
      <c r="B12" s="64" t="s">
        <v>3015</v>
      </c>
    </row>
    <row customHeight="1" ht="11.25">
      <c r="A13" s="64" t="s">
        <v>3016</v>
      </c>
      <c r="B13" s="64" t="s">
        <v>3017</v>
      </c>
    </row>
    <row customHeight="1" ht="11.25">
      <c r="A14" s="64" t="s">
        <v>3018</v>
      </c>
      <c r="B14" s="64" t="s">
        <v>3019</v>
      </c>
    </row>
    <row customHeight="1" ht="11.25">
      <c r="A15" s="64" t="s">
        <v>3020</v>
      </c>
      <c r="B15" s="64" t="s">
        <v>3021</v>
      </c>
    </row>
    <row customHeight="1" ht="11.25">
      <c r="A16" s="64" t="s">
        <v>3022</v>
      </c>
      <c r="B16" s="64" t="s">
        <v>3023</v>
      </c>
    </row>
    <row customHeight="1" ht="11.25">
      <c r="A17" s="64" t="s">
        <v>3024</v>
      </c>
      <c r="B17" s="64" t="s">
        <v>3025</v>
      </c>
    </row>
    <row customHeight="1" ht="11.25">
      <c r="A18" s="64" t="s">
        <v>3026</v>
      </c>
      <c r="B18" s="64" t="s">
        <v>3027</v>
      </c>
    </row>
    <row customHeight="1" ht="11.25">
      <c r="A19" s="64" t="s">
        <v>3028</v>
      </c>
      <c r="B19" s="64" t="s">
        <v>3029</v>
      </c>
    </row>
    <row customHeight="1" ht="11.25">
      <c r="A20" s="64" t="s">
        <v>3030</v>
      </c>
      <c r="B20" s="64" t="s">
        <v>3031</v>
      </c>
    </row>
    <row customHeight="1" ht="11.25">
      <c r="A21" s="64" t="s">
        <v>3032</v>
      </c>
      <c r="B21" s="64" t="s">
        <v>3033</v>
      </c>
    </row>
    <row customHeight="1" ht="11.25">
      <c r="A22" s="64" t="s">
        <v>3034</v>
      </c>
      <c r="B22" s="64" t="s">
        <v>3035</v>
      </c>
    </row>
    <row customHeight="1" ht="11.25">
      <c r="A23" s="64" t="s">
        <v>3036</v>
      </c>
      <c r="B23" s="64" t="s">
        <v>3037</v>
      </c>
    </row>
    <row customHeight="1" ht="11.25">
      <c r="A24" s="64" t="s">
        <v>3038</v>
      </c>
      <c r="B24" s="64" t="s">
        <v>3039</v>
      </c>
    </row>
    <row customHeight="1" ht="11.25">
      <c r="A25" s="64" t="s">
        <v>3040</v>
      </c>
      <c r="B25" s="64" t="s">
        <v>3041</v>
      </c>
    </row>
    <row customHeight="1" ht="11.25">
      <c r="A26" s="64" t="s">
        <v>3042</v>
      </c>
      <c r="B26" s="64" t="s">
        <v>3043</v>
      </c>
    </row>
    <row customHeight="1" ht="11.25">
      <c r="A27" s="64" t="s">
        <v>3044</v>
      </c>
      <c r="B27" s="64" t="s">
        <v>3045</v>
      </c>
    </row>
    <row customHeight="1" ht="11.25">
      <c r="A28" s="64" t="s">
        <v>3046</v>
      </c>
      <c r="B28" s="64" t="s">
        <v>3047</v>
      </c>
    </row>
    <row customHeight="1" ht="11.25">
      <c r="A29" s="64" t="s">
        <v>3048</v>
      </c>
      <c r="B29" s="64" t="s">
        <v>3049</v>
      </c>
    </row>
    <row customHeight="1" ht="11.25">
      <c r="A30" s="64" t="s">
        <v>3050</v>
      </c>
      <c r="B30" s="64" t="s">
        <v>3051</v>
      </c>
    </row>
    <row customHeight="1" ht="11.25">
      <c r="A31" s="64" t="s">
        <v>3052</v>
      </c>
      <c r="B31" s="64" t="s">
        <v>3053</v>
      </c>
    </row>
    <row customHeight="1" ht="11.25">
      <c r="A32" s="64" t="s">
        <v>3054</v>
      </c>
      <c r="B32" s="64" t="s">
        <v>3055</v>
      </c>
    </row>
    <row customHeight="1" ht="11.25">
      <c r="A33" s="64" t="s">
        <v>3056</v>
      </c>
      <c r="B33" s="64" t="s">
        <v>3057</v>
      </c>
    </row>
    <row customHeight="1" ht="11.25">
      <c r="A34" s="64" t="s">
        <v>3058</v>
      </c>
      <c r="B34" s="64" t="s">
        <v>3059</v>
      </c>
    </row>
    <row customHeight="1" ht="11.25">
      <c r="A35" s="64" t="s">
        <v>3060</v>
      </c>
      <c r="B35" s="64" t="s">
        <v>3061</v>
      </c>
    </row>
    <row customHeight="1" ht="11.25">
      <c r="A36" s="64" t="s">
        <v>3062</v>
      </c>
      <c r="B36" s="64" t="s">
        <v>3063</v>
      </c>
    </row>
    <row customHeight="1" ht="11.25">
      <c r="A37" s="64" t="s">
        <v>3064</v>
      </c>
      <c r="B37" s="64" t="s">
        <v>3065</v>
      </c>
    </row>
    <row customHeight="1" ht="11.25">
      <c r="A38" s="64" t="s">
        <v>3066</v>
      </c>
      <c r="B38" s="64" t="s">
        <v>3067</v>
      </c>
    </row>
    <row customHeight="1" ht="11.25">
      <c r="A39" s="64" t="s">
        <v>3068</v>
      </c>
      <c r="B39" s="64" t="s">
        <v>3069</v>
      </c>
    </row>
    <row customHeight="1" ht="11.25">
      <c r="A40" s="64" t="s">
        <v>3070</v>
      </c>
      <c r="B40" s="64" t="s">
        <v>3071</v>
      </c>
    </row>
    <row customHeight="1" ht="11.25">
      <c r="A41" s="64" t="s">
        <v>3072</v>
      </c>
      <c r="B41" s="64" t="s">
        <v>3073</v>
      </c>
    </row>
    <row customHeight="1" ht="11.25">
      <c r="A42" s="64" t="s">
        <v>3074</v>
      </c>
      <c r="B42" s="64" t="s">
        <v>3075</v>
      </c>
    </row>
    <row customHeight="1" ht="11.25">
      <c r="A43" s="64" t="s">
        <v>3076</v>
      </c>
      <c r="B43" s="64" t="s">
        <v>3077</v>
      </c>
    </row>
    <row customHeight="1" ht="11.25">
      <c r="A44" s="64" t="s">
        <v>3078</v>
      </c>
      <c r="B44" s="64" t="s">
        <v>3079</v>
      </c>
    </row>
    <row customHeight="1" ht="11.25">
      <c r="A45" s="64" t="s">
        <v>3080</v>
      </c>
      <c r="B45" s="64" t="s">
        <v>3081</v>
      </c>
    </row>
    <row customHeight="1" ht="11.25">
      <c r="A46" s="64" t="s">
        <v>3082</v>
      </c>
      <c r="B46" s="64" t="s">
        <v>3083</v>
      </c>
    </row>
    <row customHeight="1" ht="11.25">
      <c r="A47" s="64" t="s">
        <v>3084</v>
      </c>
      <c r="B47" s="64" t="s">
        <v>3085</v>
      </c>
    </row>
    <row customHeight="1" ht="11.25">
      <c r="A48" s="64" t="s">
        <v>3086</v>
      </c>
      <c r="B48" s="64" t="s">
        <v>3087</v>
      </c>
    </row>
    <row customHeight="1" ht="11.25">
      <c r="A49" s="64" t="s">
        <v>3088</v>
      </c>
      <c r="B49" s="64" t="s">
        <v>3089</v>
      </c>
    </row>
    <row customHeight="1" ht="11.25">
      <c r="A50" s="64" t="s">
        <v>3090</v>
      </c>
      <c r="B50" s="64" t="s">
        <v>3091</v>
      </c>
    </row>
    <row customHeight="1" ht="11.25">
      <c r="A51" s="64" t="s">
        <v>3092</v>
      </c>
      <c r="B51" s="64" t="s">
        <v>3093</v>
      </c>
    </row>
    <row customHeight="1" ht="11.25">
      <c r="A52" s="64" t="s">
        <v>3094</v>
      </c>
      <c r="B52" s="64" t="s">
        <v>3095</v>
      </c>
    </row>
    <row customHeight="1" ht="11.25">
      <c r="A53" s="64" t="s">
        <v>3096</v>
      </c>
      <c r="B53" s="64" t="s">
        <v>3097</v>
      </c>
    </row>
    <row customHeight="1" ht="11.25">
      <c r="A54" s="64" t="s">
        <v>3098</v>
      </c>
      <c r="B54" s="64" t="s">
        <v>3099</v>
      </c>
    </row>
    <row customHeight="1" ht="11.25">
      <c r="A55" s="64" t="s">
        <v>3100</v>
      </c>
      <c r="B55" s="64" t="s">
        <v>3101</v>
      </c>
    </row>
    <row customHeight="1" ht="11.25">
      <c r="A56" s="64" t="s">
        <v>3102</v>
      </c>
      <c r="B56" s="64" t="s">
        <v>3103</v>
      </c>
    </row>
    <row customHeight="1" ht="11.25">
      <c r="A57" s="64" t="s">
        <v>3104</v>
      </c>
      <c r="B57" s="64" t="s">
        <v>3105</v>
      </c>
    </row>
    <row customHeight="1" ht="11.25">
      <c r="A58" s="64" t="s">
        <v>3106</v>
      </c>
      <c r="B58" s="64" t="s">
        <v>3107</v>
      </c>
    </row>
    <row customHeight="1" ht="11.25">
      <c r="A59" s="64" t="s">
        <v>3108</v>
      </c>
      <c r="B59" s="64" t="s">
        <v>3109</v>
      </c>
    </row>
    <row customHeight="1" ht="11.25">
      <c r="A60" s="64" t="s">
        <v>3110</v>
      </c>
      <c r="B60" s="64" t="s">
        <v>3111</v>
      </c>
    </row>
    <row customHeight="1" ht="11.25">
      <c r="A61" s="64"/>
      <c r="B61" s="64" t="s">
        <v>3112</v>
      </c>
    </row>
    <row customHeight="1" ht="11.25">
      <c r="A62" s="64"/>
      <c r="B62" s="64" t="s">
        <v>3113</v>
      </c>
    </row>
    <row customHeight="1" ht="11.25">
      <c r="A63" s="64"/>
      <c r="B63" s="64" t="s">
        <v>3114</v>
      </c>
    </row>
    <row customHeight="1" ht="11.25">
      <c r="A64" s="64"/>
      <c r="B64" s="64" t="s">
        <v>3115</v>
      </c>
    </row>
    <row customHeight="1" ht="11.25">
      <c r="A65" s="64"/>
      <c r="B65" s="64" t="s">
        <v>3116</v>
      </c>
    </row>
    <row customHeight="1" ht="11.25">
      <c r="A66" s="64"/>
      <c r="B66" s="64" t="s">
        <v>3117</v>
      </c>
    </row>
    <row customHeight="1" ht="11.25">
      <c r="A67" s="64"/>
      <c r="B67" s="64" t="s">
        <v>3118</v>
      </c>
    </row>
    <row customHeight="1" ht="11.25">
      <c r="A68" s="64"/>
      <c r="B68" s="64" t="s">
        <v>3119</v>
      </c>
    </row>
    <row customHeight="1" ht="11.25">
      <c r="A69" s="64"/>
      <c r="B69" s="64" t="s">
        <v>3120</v>
      </c>
    </row>
    <row customHeight="1" ht="11.25">
      <c r="A70" s="64"/>
      <c r="B70" s="64" t="s">
        <v>3121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7AD08-2AE4-E567-CB48-9E0A0E3DEB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3122</v>
      </c>
    </row>
    <row customHeight="1" ht="90">
      <c r="B2" s="94" t="s">
        <v>3123</v>
      </c>
    </row>
    <row customHeight="1" ht="67.5">
      <c r="B3" s="94" t="s">
        <v>3124</v>
      </c>
    </row>
    <row customHeight="1" ht="33.75">
      <c r="B4" s="94" t="s">
        <v>3125</v>
      </c>
    </row>
    <row customHeight="1" ht="11.25">
      <c r="B5" s="94" t="s">
        <v>3126</v>
      </c>
    </row>
    <row customHeight="1" ht="22.5">
      <c r="B6" s="94" t="s">
        <v>3127</v>
      </c>
    </row>
    <row customHeight="1" ht="22.5">
      <c r="B7" s="94" t="s">
        <v>3128</v>
      </c>
    </row>
    <row customHeight="1" ht="22.5">
      <c r="B8" s="94" t="s">
        <v>3129</v>
      </c>
    </row>
    <row customHeight="1" ht="22.5">
      <c r="B9" s="94" t="s">
        <v>3130</v>
      </c>
    </row>
    <row customHeight="1" ht="56.25">
      <c r="B10" s="94" t="s">
        <v>3131</v>
      </c>
    </row>
    <row customHeight="1" ht="12.75">
      <c r="B11" s="159" t="s">
        <v>3132</v>
      </c>
    </row>
    <row customHeight="1" ht="11.25">
      <c r="B12" s="93" t="s">
        <v>3133</v>
      </c>
    </row>
    <row customHeight="1" ht="22.5">
      <c r="B13" s="94" t="s">
        <v>3134</v>
      </c>
    </row>
    <row customHeight="1" ht="67.5">
      <c r="B14" s="94" t="s">
        <v>3135</v>
      </c>
    </row>
    <row customHeight="1" ht="22.5">
      <c r="B15" s="94" t="s">
        <v>3136</v>
      </c>
    </row>
    <row customHeight="1" ht="11.25">
      <c r="B16" s="93" t="s">
        <v>3137</v>
      </c>
      <c r="D16" s="100"/>
    </row>
    <row customHeight="1" ht="33.75">
      <c r="B17" s="94" t="s">
        <v>3138</v>
      </c>
    </row>
    <row customHeight="1" ht="33.75">
      <c r="B18" s="94" t="s">
        <v>3139</v>
      </c>
    </row>
    <row customHeight="1" ht="11.25">
      <c r="B19" s="94" t="s">
        <v>3140</v>
      </c>
    </row>
    <row customHeight="1" ht="33.75">
      <c r="B20" s="94" t="s">
        <v>3141</v>
      </c>
    </row>
    <row customHeight="1" ht="11.25">
      <c r="B21" s="93" t="s">
        <v>3142</v>
      </c>
    </row>
    <row customHeight="1" ht="11.25">
      <c r="B22" s="94" t="s">
        <v>3143</v>
      </c>
    </row>
    <row r="24" customHeight="1" ht="22.5">
      <c r="B24" s="161" t="s">
        <v>3144</v>
      </c>
    </row>
    <row r="26" customHeight="1" ht="11.25">
      <c r="B26" s="93" t="s">
        <v>3145</v>
      </c>
    </row>
    <row customHeight="1" ht="22.5">
      <c r="B27" s="160" t="s">
        <v>401</v>
      </c>
    </row>
    <row customHeight="1" ht="56.25">
      <c r="B28" s="160" t="s">
        <v>3146</v>
      </c>
    </row>
    <row customHeight="1" ht="11.25">
      <c r="B29" s="210" t="s">
        <v>3147</v>
      </c>
    </row>
    <row customHeight="1" ht="22.5">
      <c r="B30" s="160" t="s">
        <v>3148</v>
      </c>
    </row>
    <row r="32" customHeight="1" ht="11.25">
      <c r="A32" s="188"/>
      <c r="B32" s="189" t="s">
        <v>3149</v>
      </c>
    </row>
    <row customHeight="1" ht="14.25">
      <c r="A33" s="190">
        <v>1</v>
      </c>
      <c r="B33" s="191" t="s">
        <v>3150</v>
      </c>
    </row>
    <row customHeight="1" ht="14.25">
      <c r="A34" s="190">
        <v>2</v>
      </c>
      <c r="B34" s="191" t="s">
        <v>3151</v>
      </c>
    </row>
    <row customHeight="1" ht="11.25">
      <c r="B35" s="189" t="s">
        <v>3152</v>
      </c>
    </row>
    <row customHeight="1" ht="11.25">
      <c r="B36" s="191" t="s">
        <v>3153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DF488-BA68-E3A8-1FF8-051C2476FB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36" t="s">
        <v>357</v>
      </c>
      <c r="I1" s="2236"/>
      <c r="V1" s="1607" t="s">
        <v>14</v>
      </c>
    </row>
    <row s="1635" customFormat="1" customHeight="1" ht="14.25" hidden="1">
      <c r="C2" s="1619"/>
      <c r="D2" s="2252" t="s">
        <v>110</v>
      </c>
      <c r="E2" s="2254"/>
      <c r="F2" s="1625"/>
      <c r="G2" s="1620" t="s">
        <v>110</v>
      </c>
      <c r="H2" s="1623"/>
      <c r="I2" s="1621"/>
      <c r="L2" s="1622"/>
      <c r="M2" s="1622"/>
      <c r="N2" s="1622"/>
      <c r="O2" s="1622" t="s">
        <v>387</v>
      </c>
      <c r="P2" s="1622"/>
      <c r="Q2" s="1622"/>
      <c r="R2" s="1624" t="s">
        <v>386</v>
      </c>
      <c r="S2" s="1624" t="s">
        <v>386</v>
      </c>
      <c r="T2" s="1622"/>
      <c r="U2" s="1622"/>
      <c r="V2" s="1618">
        <v>0</v>
      </c>
    </row>
    <row s="1635" customFormat="1" customHeight="1" ht="14.25" hidden="1">
      <c r="C3" s="1619"/>
      <c r="D3" s="2253"/>
      <c r="E3" s="2255"/>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56" t="s">
        <v>389</v>
      </c>
      <c r="E6" s="2256"/>
      <c r="F6" s="2256"/>
      <c r="G6" s="2256"/>
      <c r="H6" s="2256"/>
      <c r="I6" s="2256"/>
      <c r="J6" s="491"/>
      <c r="K6" s="1615"/>
      <c r="V6" s="1607">
        <v>28</v>
      </c>
    </row>
    <row customHeight="1" ht="18">
      <c r="C7" s="1516"/>
      <c r="D7" s="2195" t="str">
        <f>IF(org=0,"Не определено",org)</f>
        <v>Муниципальное унитарное предприятие "Невельские коммунальные сети"</v>
      </c>
      <c r="E7" s="2195"/>
      <c r="F7" s="2195"/>
      <c r="G7" s="2195"/>
      <c r="H7" s="2195"/>
      <c r="I7" s="2195"/>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7" t="s">
        <v>305</v>
      </c>
      <c r="E10" s="2238"/>
      <c r="F10" s="2238"/>
      <c r="G10" s="2238"/>
      <c r="H10" s="2238"/>
      <c r="I10" s="2238"/>
      <c r="J10" s="2242" t="s">
        <v>306</v>
      </c>
      <c r="V10" s="1607">
        <v>14</v>
      </c>
    </row>
    <row customHeight="1" ht="27.299999999999997">
      <c r="C11" s="1516"/>
      <c r="D11" s="2146" t="s">
        <v>89</v>
      </c>
      <c r="E11" s="2242" t="s">
        <v>106</v>
      </c>
      <c r="F11" s="2211" t="s">
        <v>89</v>
      </c>
      <c r="G11" s="2212"/>
      <c r="H11" s="2194" t="s">
        <v>390</v>
      </c>
      <c r="I11" s="2194" t="s">
        <v>391</v>
      </c>
      <c r="J11" s="2242"/>
      <c r="V11" s="1607">
        <v>26</v>
      </c>
    </row>
    <row customHeight="1" ht="14.699999999999998">
      <c r="C12" s="1516"/>
      <c r="D12" s="2146"/>
      <c r="E12" s="2242"/>
      <c r="F12" s="2219"/>
      <c r="G12" s="2220"/>
      <c r="H12" s="2251"/>
      <c r="I12" s="2251"/>
      <c r="J12" s="2242"/>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2" t="s">
        <v>110</v>
      </c>
      <c r="E14" s="2254"/>
      <c r="F14" s="1617"/>
      <c r="G14" s="1616" t="s">
        <v>110</v>
      </c>
      <c r="H14" s="1623"/>
      <c r="I14" s="1621"/>
      <c r="J14" s="2188" t="s">
        <v>392</v>
      </c>
      <c r="K14" s="1607"/>
      <c r="R14" s="500" t="s">
        <v>386</v>
      </c>
      <c r="S14" s="500" t="s">
        <v>386</v>
      </c>
      <c r="V14" s="1607">
        <v>14</v>
      </c>
    </row>
    <row customHeight="1" ht="14.699999999999998">
      <c r="A15" s="1607"/>
      <c r="C15" s="1516"/>
      <c r="D15" s="2253"/>
      <c r="E15" s="2255"/>
      <c r="F15" s="405"/>
      <c r="G15" s="869"/>
      <c r="H15" s="869" t="s">
        <v>388</v>
      </c>
      <c r="I15" s="313"/>
      <c r="J15" s="2189"/>
      <c r="K15" s="1607"/>
      <c r="R15" s="500"/>
      <c r="S15" s="500"/>
      <c r="V15" s="1607">
        <v>14</v>
      </c>
    </row>
    <row customHeight="1" ht="14.699999999999998">
      <c r="A16" s="1607"/>
      <c r="C16" s="1516"/>
      <c r="D16" s="405"/>
      <c r="E16" s="869" t="s">
        <v>128</v>
      </c>
      <c r="F16" s="313"/>
      <c r="G16" s="313"/>
      <c r="H16" s="406"/>
      <c r="I16" s="406"/>
      <c r="J16" s="2190"/>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